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5" yWindow="75" windowWidth="15315" windowHeight="11250" activeTab="2"/>
  </bookViews>
  <sheets>
    <sheet name="P. ACCIÓN A AGOS 17" sheetId="4" r:id="rId1"/>
    <sheet name="P. ACCIÓN A AGOS 17 (4)" sheetId="10" r:id="rId2"/>
    <sheet name="P. ACCIÓN A AGOS 17 CONSOLIDADO" sheetId="9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Print_Titles" localSheetId="0">'P. ACCIÓN A AGOS 17'!$C:$F,'P. ACCIÓN A AGOS 17'!$1:$3</definedName>
    <definedName name="_xlnm.Print_Titles" localSheetId="1">'P. ACCIÓN A AGOS 17 (4)'!$C:$F,'P. ACCIÓN A AGOS 17 (4)'!$1:$3</definedName>
    <definedName name="_xlnm.Print_Titles" localSheetId="2">'P. ACCIÓN A AGOS 17 CONSOLIDADO'!$C:$F,'P. ACCIÓN A AGOS 17 CONSOLIDADO'!$1:$3</definedName>
  </definedNames>
  <calcPr calcId="144525"/>
</workbook>
</file>

<file path=xl/calcChain.xml><?xml version="1.0" encoding="utf-8"?>
<calcChain xmlns="http://schemas.openxmlformats.org/spreadsheetml/2006/main">
  <c r="DO129" i="9" l="1"/>
  <c r="DQ30" i="9"/>
  <c r="DQ32" i="9"/>
  <c r="DQ42" i="9"/>
  <c r="DQ47" i="9"/>
  <c r="DQ48" i="9"/>
  <c r="DQ53" i="9"/>
  <c r="DQ59" i="9"/>
  <c r="DQ71" i="9"/>
  <c r="DQ73" i="9"/>
  <c r="DQ74" i="9"/>
  <c r="DQ75" i="9"/>
  <c r="DQ95" i="9"/>
  <c r="DQ96" i="9"/>
  <c r="DQ97" i="9"/>
  <c r="DQ111" i="9"/>
  <c r="DP116" i="9"/>
  <c r="DO116" i="9"/>
  <c r="DN129" i="9"/>
  <c r="CN126" i="10"/>
  <c r="CM126" i="10"/>
  <c r="CL126" i="10"/>
  <c r="CG126" i="10"/>
  <c r="CF126" i="10"/>
  <c r="CE126" i="10"/>
  <c r="CD126" i="10"/>
  <c r="CB126" i="10"/>
  <c r="CA126" i="10"/>
  <c r="BZ126" i="10"/>
  <c r="AV126" i="10"/>
  <c r="AU126" i="10"/>
  <c r="AT126" i="10"/>
  <c r="AO126" i="10"/>
  <c r="AN126" i="10"/>
  <c r="AM126" i="10"/>
  <c r="AL126" i="10"/>
  <c r="AK126" i="10"/>
  <c r="AJ126" i="10"/>
  <c r="AI126" i="10"/>
  <c r="AH126" i="10"/>
  <c r="Z126" i="10"/>
  <c r="Y126" i="10"/>
  <c r="W126" i="10"/>
  <c r="V126" i="10"/>
  <c r="U126" i="10"/>
  <c r="T126" i="10"/>
  <c r="S126" i="10"/>
  <c r="R126" i="10"/>
  <c r="Q126" i="10"/>
  <c r="P126" i="10"/>
  <c r="O126" i="10"/>
  <c r="N126" i="10"/>
  <c r="M126" i="10"/>
  <c r="L126" i="10"/>
  <c r="K126" i="10"/>
  <c r="J126" i="10"/>
  <c r="I126" i="10"/>
  <c r="DE124" i="10"/>
  <c r="CO124" i="10"/>
  <c r="CN124" i="10"/>
  <c r="CL124" i="10"/>
  <c r="CI124" i="10"/>
  <c r="CH124" i="10"/>
  <c r="CB124" i="10"/>
  <c r="CA124" i="10"/>
  <c r="BZ124" i="10"/>
  <c r="BY124" i="10"/>
  <c r="BX124" i="10"/>
  <c r="BW124" i="10"/>
  <c r="BV124" i="10"/>
  <c r="AW124" i="10"/>
  <c r="AT124" i="10"/>
  <c r="AS124" i="10"/>
  <c r="AR124" i="10"/>
  <c r="AP124" i="10"/>
  <c r="AO124" i="10"/>
  <c r="AN124" i="10"/>
  <c r="AM124" i="10"/>
  <c r="AL124" i="10"/>
  <c r="AK124" i="10"/>
  <c r="AJ124" i="10"/>
  <c r="AI124" i="10"/>
  <c r="AH124" i="10"/>
  <c r="AG124" i="10"/>
  <c r="AF124" i="10"/>
  <c r="AE124" i="10"/>
  <c r="AD124" i="10"/>
  <c r="AA124" i="10"/>
  <c r="Z124" i="10"/>
  <c r="U124" i="10"/>
  <c r="N124" i="10"/>
  <c r="K124" i="10"/>
  <c r="CN123" i="10"/>
  <c r="CM123" i="10"/>
  <c r="CL123" i="10"/>
  <c r="CK123" i="10"/>
  <c r="CH123" i="10"/>
  <c r="CF123" i="10"/>
  <c r="CE123" i="10"/>
  <c r="CD123" i="10"/>
  <c r="CB123" i="10"/>
  <c r="CA123" i="10"/>
  <c r="BZ123" i="10"/>
  <c r="BY123" i="10"/>
  <c r="BX123" i="10"/>
  <c r="BV123" i="10"/>
  <c r="AV123" i="10"/>
  <c r="AU123" i="10"/>
  <c r="AT123" i="10"/>
  <c r="AS123" i="10"/>
  <c r="AP123" i="10"/>
  <c r="AN123" i="10"/>
  <c r="AM123" i="10"/>
  <c r="AL123" i="10"/>
  <c r="AK123" i="10"/>
  <c r="AJ123" i="10"/>
  <c r="AI123" i="10"/>
  <c r="AH123" i="10"/>
  <c r="AG123" i="10"/>
  <c r="AF123" i="10"/>
  <c r="AD123" i="10"/>
  <c r="Z123" i="10"/>
  <c r="Y123" i="10"/>
  <c r="W123" i="10"/>
  <c r="U123" i="10"/>
  <c r="T123" i="10"/>
  <c r="R123" i="10"/>
  <c r="Q123" i="10"/>
  <c r="P123" i="10"/>
  <c r="O123" i="10"/>
  <c r="N123" i="10"/>
  <c r="M123" i="10"/>
  <c r="L123" i="10"/>
  <c r="K123" i="10"/>
  <c r="J123" i="10"/>
  <c r="H123" i="10"/>
  <c r="CN122" i="10"/>
  <c r="CM122" i="10"/>
  <c r="CL122" i="10"/>
  <c r="CK122" i="10"/>
  <c r="CH122" i="10"/>
  <c r="CG122" i="10"/>
  <c r="CF122" i="10"/>
  <c r="CE122" i="10"/>
  <c r="CD122" i="10"/>
  <c r="CB122" i="10"/>
  <c r="CA122" i="10"/>
  <c r="BZ122" i="10"/>
  <c r="BV122" i="10"/>
  <c r="AV122" i="10"/>
  <c r="AU122" i="10"/>
  <c r="AT122" i="10"/>
  <c r="AS122" i="10"/>
  <c r="AP122" i="10"/>
  <c r="AO122" i="10"/>
  <c r="AN122" i="10"/>
  <c r="AM122" i="10"/>
  <c r="AL122" i="10"/>
  <c r="AK122" i="10"/>
  <c r="AJ122" i="10"/>
  <c r="AI122" i="10"/>
  <c r="AH122" i="10"/>
  <c r="AD122" i="10"/>
  <c r="Z122" i="10"/>
  <c r="Y122" i="10"/>
  <c r="W122" i="10"/>
  <c r="W125" i="10" s="1"/>
  <c r="W127" i="10" s="1"/>
  <c r="V122" i="10"/>
  <c r="U122" i="10"/>
  <c r="T122" i="10"/>
  <c r="S122" i="10"/>
  <c r="R122" i="10"/>
  <c r="Q122" i="10"/>
  <c r="P122" i="10"/>
  <c r="O122" i="10"/>
  <c r="O125" i="10" s="1"/>
  <c r="O127" i="10" s="1"/>
  <c r="N122" i="10"/>
  <c r="M122" i="10"/>
  <c r="L122" i="10"/>
  <c r="K122" i="10"/>
  <c r="J122" i="10"/>
  <c r="I122" i="10"/>
  <c r="H122" i="10"/>
  <c r="CN121" i="10"/>
  <c r="CM121" i="10"/>
  <c r="CK121" i="10"/>
  <c r="CI121" i="10"/>
  <c r="CH121" i="10"/>
  <c r="CF121" i="10"/>
  <c r="CE121" i="10"/>
  <c r="CD121" i="10"/>
  <c r="CB121" i="10"/>
  <c r="CA121" i="10"/>
  <c r="BZ121" i="10"/>
  <c r="BV121" i="10"/>
  <c r="AV121" i="10"/>
  <c r="AU121" i="10"/>
  <c r="AS121" i="10"/>
  <c r="AQ121" i="10"/>
  <c r="AP121" i="10"/>
  <c r="AN121" i="10"/>
  <c r="AM121" i="10"/>
  <c r="AL121" i="10"/>
  <c r="AK121" i="10"/>
  <c r="AJ121" i="10"/>
  <c r="AI121" i="10"/>
  <c r="AH121" i="10"/>
  <c r="AD121" i="10"/>
  <c r="Z121" i="10"/>
  <c r="Y121" i="10"/>
  <c r="W121" i="10"/>
  <c r="U121" i="10"/>
  <c r="T121" i="10"/>
  <c r="R121" i="10"/>
  <c r="Q121" i="10"/>
  <c r="P121" i="10"/>
  <c r="O121" i="10"/>
  <c r="N121" i="10"/>
  <c r="M121" i="10"/>
  <c r="L121" i="10"/>
  <c r="J121" i="10"/>
  <c r="H121" i="10"/>
  <c r="CN120" i="10"/>
  <c r="CM120" i="10"/>
  <c r="CL120" i="10"/>
  <c r="CK120" i="10"/>
  <c r="CI120" i="10"/>
  <c r="CH120" i="10"/>
  <c r="CG120" i="10"/>
  <c r="CF120" i="10"/>
  <c r="CE120" i="10"/>
  <c r="CD120" i="10"/>
  <c r="CB120" i="10"/>
  <c r="CA120" i="10"/>
  <c r="BZ120" i="10"/>
  <c r="BX120" i="10"/>
  <c r="BV120" i="10"/>
  <c r="AV120" i="10"/>
  <c r="AU120" i="10"/>
  <c r="AT120" i="10"/>
  <c r="AS120" i="10"/>
  <c r="AQ120" i="10"/>
  <c r="AP120" i="10"/>
  <c r="AO120" i="10"/>
  <c r="AN120" i="10"/>
  <c r="AM120" i="10"/>
  <c r="AL120" i="10"/>
  <c r="AK120" i="10"/>
  <c r="AJ120" i="10"/>
  <c r="AI120" i="10"/>
  <c r="AH120" i="10"/>
  <c r="AF120" i="10"/>
  <c r="AD120" i="10"/>
  <c r="Z120" i="10"/>
  <c r="Y120" i="10"/>
  <c r="W120" i="10"/>
  <c r="V120" i="10"/>
  <c r="U120" i="10"/>
  <c r="T120" i="10"/>
  <c r="S120" i="10"/>
  <c r="R120" i="10"/>
  <c r="Q120" i="10"/>
  <c r="P120" i="10"/>
  <c r="O120" i="10"/>
  <c r="N120" i="10"/>
  <c r="M120" i="10"/>
  <c r="L120" i="10"/>
  <c r="K120" i="10"/>
  <c r="J120" i="10"/>
  <c r="H120" i="10"/>
  <c r="CN119" i="10"/>
  <c r="CM119" i="10"/>
  <c r="CL119" i="10"/>
  <c r="CK119" i="10"/>
  <c r="CI119" i="10"/>
  <c r="CG119" i="10"/>
  <c r="CE119" i="10"/>
  <c r="CD119" i="10"/>
  <c r="CB119" i="10"/>
  <c r="BV119" i="10"/>
  <c r="BI119" i="10"/>
  <c r="AV119" i="10"/>
  <c r="AU119" i="10"/>
  <c r="AT119" i="10"/>
  <c r="AS119" i="10"/>
  <c r="AP119" i="10"/>
  <c r="AO119" i="10"/>
  <c r="AM119" i="10"/>
  <c r="AL119" i="10"/>
  <c r="AK119" i="10"/>
  <c r="AJ119" i="10"/>
  <c r="AG119" i="10"/>
  <c r="AD119" i="10"/>
  <c r="Z119" i="10"/>
  <c r="Y119" i="10"/>
  <c r="W119" i="10"/>
  <c r="U119" i="10"/>
  <c r="T119" i="10"/>
  <c r="S119" i="10"/>
  <c r="R119" i="10"/>
  <c r="Q119" i="10"/>
  <c r="P119" i="10"/>
  <c r="O119" i="10"/>
  <c r="N119" i="10"/>
  <c r="M119" i="10"/>
  <c r="L119" i="10"/>
  <c r="K119" i="10"/>
  <c r="I119" i="10"/>
  <c r="H119" i="10"/>
  <c r="DI118" i="10"/>
  <c r="CS118" i="10"/>
  <c r="CN118" i="10"/>
  <c r="CN125" i="10" s="1"/>
  <c r="CN127" i="10" s="1"/>
  <c r="CM118" i="10"/>
  <c r="CL118" i="10"/>
  <c r="CK118" i="10"/>
  <c r="CG118" i="10"/>
  <c r="CF118" i="10"/>
  <c r="CE118" i="10"/>
  <c r="CB118" i="10"/>
  <c r="CA118" i="10"/>
  <c r="BZ118" i="10"/>
  <c r="BW118" i="10"/>
  <c r="BV118" i="10"/>
  <c r="BK118" i="10"/>
  <c r="BJ118" i="10"/>
  <c r="AV118" i="10"/>
  <c r="AU118" i="10"/>
  <c r="AU125" i="10" s="1"/>
  <c r="AU127" i="10" s="1"/>
  <c r="AT118" i="10"/>
  <c r="AS118" i="10"/>
  <c r="AO118" i="10"/>
  <c r="AN118" i="10"/>
  <c r="AM118" i="10"/>
  <c r="AM125" i="10" s="1"/>
  <c r="AM127" i="10" s="1"/>
  <c r="AK118" i="10"/>
  <c r="AI118" i="10"/>
  <c r="AH118" i="10"/>
  <c r="AE118" i="10"/>
  <c r="AA118" i="10"/>
  <c r="Z118" i="10"/>
  <c r="Y118" i="10"/>
  <c r="W118" i="10"/>
  <c r="T118" i="10"/>
  <c r="T125" i="10" s="1"/>
  <c r="T127" i="10" s="1"/>
  <c r="S118" i="10"/>
  <c r="R118" i="10"/>
  <c r="R125" i="10" s="1"/>
  <c r="R127" i="10" s="1"/>
  <c r="Q118" i="10"/>
  <c r="P118" i="10"/>
  <c r="O118" i="10"/>
  <c r="N118" i="10"/>
  <c r="M118" i="10"/>
  <c r="L118" i="10"/>
  <c r="K118" i="10"/>
  <c r="J118" i="10"/>
  <c r="I118" i="10"/>
  <c r="H118" i="10"/>
  <c r="DG114" i="10"/>
  <c r="CK114" i="10"/>
  <c r="CH114" i="10"/>
  <c r="CG114" i="10"/>
  <c r="CE114" i="10"/>
  <c r="BX114" i="10"/>
  <c r="BV114" i="10"/>
  <c r="AV114" i="10"/>
  <c r="AT114" i="10"/>
  <c r="AS114" i="10"/>
  <c r="AO114" i="10"/>
  <c r="AN114" i="10"/>
  <c r="AM114" i="10"/>
  <c r="Z114" i="10"/>
  <c r="X114" i="10"/>
  <c r="W114" i="10"/>
  <c r="T114" i="10"/>
  <c r="S114" i="10"/>
  <c r="R114" i="10"/>
  <c r="Q114" i="10"/>
  <c r="P114" i="10"/>
  <c r="O114" i="10"/>
  <c r="N114" i="10"/>
  <c r="M114" i="10"/>
  <c r="L114" i="10"/>
  <c r="K114" i="10"/>
  <c r="I114" i="10"/>
  <c r="H114" i="10"/>
  <c r="DJ113" i="10"/>
  <c r="DI113" i="10"/>
  <c r="DH113" i="10"/>
  <c r="DG113" i="10"/>
  <c r="DE113" i="10"/>
  <c r="DD113" i="10"/>
  <c r="DC113" i="10"/>
  <c r="DB113" i="10"/>
  <c r="DA113" i="10"/>
  <c r="CZ113" i="10"/>
  <c r="CY113" i="10"/>
  <c r="CX113" i="10"/>
  <c r="CW113" i="10"/>
  <c r="CV113" i="10"/>
  <c r="CU113" i="10"/>
  <c r="CT113" i="10"/>
  <c r="CS113" i="10"/>
  <c r="CR113" i="10"/>
  <c r="CO113" i="10"/>
  <c r="CJ113" i="10"/>
  <c r="BR113" i="10"/>
  <c r="BQ113" i="10"/>
  <c r="BP113" i="10"/>
  <c r="BO113" i="10"/>
  <c r="BM113" i="10"/>
  <c r="BL113" i="10"/>
  <c r="BK113" i="10"/>
  <c r="BJ113" i="10"/>
  <c r="BI113" i="10"/>
  <c r="BH113" i="10"/>
  <c r="BG113" i="10"/>
  <c r="BF113" i="10"/>
  <c r="BE113" i="10"/>
  <c r="BD113" i="10"/>
  <c r="BC113" i="10"/>
  <c r="BB113" i="10"/>
  <c r="BA113" i="10"/>
  <c r="AZ113" i="10"/>
  <c r="AW113" i="10"/>
  <c r="AR113" i="10"/>
  <c r="AR120" i="10" s="1"/>
  <c r="AA113" i="10"/>
  <c r="DK112" i="10"/>
  <c r="DJ112" i="10"/>
  <c r="DI112" i="10"/>
  <c r="DH112" i="10"/>
  <c r="DG112" i="10"/>
  <c r="DE112" i="10"/>
  <c r="DD112" i="10"/>
  <c r="DC112" i="10"/>
  <c r="DB112" i="10"/>
  <c r="DA112" i="10"/>
  <c r="CZ112" i="10"/>
  <c r="CY112" i="10"/>
  <c r="CX112" i="10"/>
  <c r="CW112" i="10"/>
  <c r="CV112" i="10"/>
  <c r="CU112" i="10"/>
  <c r="CT112" i="10"/>
  <c r="CS112" i="10"/>
  <c r="CR112" i="10"/>
  <c r="CJ112" i="10"/>
  <c r="BS112" i="10"/>
  <c r="BR112" i="10"/>
  <c r="BQ112" i="10"/>
  <c r="BP112" i="10"/>
  <c r="BO112" i="10"/>
  <c r="BN112" i="10"/>
  <c r="BM112" i="10"/>
  <c r="BL112" i="10"/>
  <c r="BK112" i="10"/>
  <c r="BJ112" i="10"/>
  <c r="BI112" i="10"/>
  <c r="BH112" i="10"/>
  <c r="BG112" i="10"/>
  <c r="BF112" i="10"/>
  <c r="BE112" i="10"/>
  <c r="BD112" i="10"/>
  <c r="BC112" i="10"/>
  <c r="BB112" i="10"/>
  <c r="BA112" i="10"/>
  <c r="AZ112" i="10"/>
  <c r="AR112" i="10"/>
  <c r="AR122" i="10" s="1"/>
  <c r="G112" i="10"/>
  <c r="DM112" i="10" s="1"/>
  <c r="DJ111" i="10"/>
  <c r="DI111" i="10"/>
  <c r="DH111" i="10"/>
  <c r="DG111" i="10"/>
  <c r="DF111" i="10"/>
  <c r="DE111" i="10"/>
  <c r="DD111" i="10"/>
  <c r="DC111" i="10"/>
  <c r="DB111" i="10"/>
  <c r="DA111" i="10"/>
  <c r="CZ111" i="10"/>
  <c r="CY111" i="10"/>
  <c r="CX111" i="10"/>
  <c r="CW111" i="10"/>
  <c r="CV111" i="10"/>
  <c r="CU111" i="10"/>
  <c r="CT111" i="10"/>
  <c r="CS111" i="10"/>
  <c r="CR111" i="10"/>
  <c r="BU111" i="10"/>
  <c r="BR111" i="10"/>
  <c r="BQ111" i="10"/>
  <c r="BP111" i="10"/>
  <c r="BO111" i="10"/>
  <c r="BN111" i="10"/>
  <c r="BM111" i="10"/>
  <c r="BL111" i="10"/>
  <c r="BK111" i="10"/>
  <c r="BJ111" i="10"/>
  <c r="BI111" i="10"/>
  <c r="BH111" i="10"/>
  <c r="BG111" i="10"/>
  <c r="BF111" i="10"/>
  <c r="BE111" i="10"/>
  <c r="BD111" i="10"/>
  <c r="BC111" i="10"/>
  <c r="BB111" i="10"/>
  <c r="BA111" i="10"/>
  <c r="AZ111" i="10"/>
  <c r="AC111" i="10"/>
  <c r="AA111" i="10"/>
  <c r="G111" i="10" s="1"/>
  <c r="DM111" i="10" s="1"/>
  <c r="DK110" i="10"/>
  <c r="DJ110" i="10"/>
  <c r="DI110" i="10"/>
  <c r="DH110" i="10"/>
  <c r="DG110" i="10"/>
  <c r="DF110" i="10"/>
  <c r="DE110" i="10"/>
  <c r="DD110" i="10"/>
  <c r="DC110" i="10"/>
  <c r="DB110" i="10"/>
  <c r="DA110" i="10"/>
  <c r="CZ110" i="10"/>
  <c r="CY110" i="10"/>
  <c r="CX110" i="10"/>
  <c r="CW110" i="10"/>
  <c r="CV110" i="10"/>
  <c r="CU110" i="10"/>
  <c r="CT110" i="10"/>
  <c r="CR110" i="10"/>
  <c r="BW110" i="10"/>
  <c r="BU110" i="10" s="1"/>
  <c r="BS110" i="10"/>
  <c r="BR110" i="10"/>
  <c r="BQ110" i="10"/>
  <c r="BP110" i="10"/>
  <c r="BO110" i="10"/>
  <c r="BN110" i="10"/>
  <c r="BM110" i="10"/>
  <c r="BL110" i="10"/>
  <c r="BK110" i="10"/>
  <c r="BJ110" i="10"/>
  <c r="BI110" i="10"/>
  <c r="BH110" i="10"/>
  <c r="BG110" i="10"/>
  <c r="BF110" i="10"/>
  <c r="BE110" i="10"/>
  <c r="BD110" i="10"/>
  <c r="BC110" i="10"/>
  <c r="BB110" i="10"/>
  <c r="BA110" i="10"/>
  <c r="AZ110" i="10"/>
  <c r="AE110" i="10"/>
  <c r="AC110" i="10" s="1"/>
  <c r="I110" i="10"/>
  <c r="G110" i="10"/>
  <c r="DM110" i="10" s="1"/>
  <c r="DM109" i="10"/>
  <c r="DK109" i="10"/>
  <c r="DJ109" i="10"/>
  <c r="DI109" i="10"/>
  <c r="DH109" i="10"/>
  <c r="DG109" i="10"/>
  <c r="DF109" i="10"/>
  <c r="DE109" i="10"/>
  <c r="DD109" i="10"/>
  <c r="DC109" i="10"/>
  <c r="DB109" i="10"/>
  <c r="DA109" i="10"/>
  <c r="CZ109" i="10"/>
  <c r="CY109" i="10"/>
  <c r="CX109" i="10"/>
  <c r="CW109" i="10"/>
  <c r="CV109" i="10"/>
  <c r="CU109" i="10"/>
  <c r="CT109" i="10"/>
  <c r="CS109" i="10"/>
  <c r="CR109" i="10"/>
  <c r="BW109" i="10"/>
  <c r="BU109" i="10" s="1"/>
  <c r="BT109" i="10" s="1"/>
  <c r="CP109" i="10" s="1"/>
  <c r="BS109" i="10"/>
  <c r="BR109" i="10"/>
  <c r="BQ109" i="10"/>
  <c r="BP109" i="10"/>
  <c r="BO109" i="10"/>
  <c r="BN109" i="10"/>
  <c r="BM109" i="10"/>
  <c r="BL109" i="10"/>
  <c r="BK109" i="10"/>
  <c r="BJ109" i="10"/>
  <c r="BI109" i="10"/>
  <c r="BH109" i="10"/>
  <c r="BG109" i="10"/>
  <c r="BF109" i="10"/>
  <c r="BE109" i="10"/>
  <c r="BD109" i="10"/>
  <c r="BC109" i="10"/>
  <c r="BB109" i="10"/>
  <c r="AZ109" i="10"/>
  <c r="AE109" i="10"/>
  <c r="BA109" i="10" s="1"/>
  <c r="AC109" i="10"/>
  <c r="AB109" i="10" s="1"/>
  <c r="AX109" i="10" s="1"/>
  <c r="G109" i="10"/>
  <c r="DK108" i="10"/>
  <c r="DJ108" i="10"/>
  <c r="DI108" i="10"/>
  <c r="DH108" i="10"/>
  <c r="DG108" i="10"/>
  <c r="DF108" i="10"/>
  <c r="DE108" i="10"/>
  <c r="DD108" i="10"/>
  <c r="DC108" i="10"/>
  <c r="DB108" i="10"/>
  <c r="DA108" i="10"/>
  <c r="CZ108" i="10"/>
  <c r="CY108" i="10"/>
  <c r="CX108" i="10"/>
  <c r="CW108" i="10"/>
  <c r="CV108" i="10"/>
  <c r="CU108" i="10"/>
  <c r="CT108" i="10"/>
  <c r="CR108" i="10"/>
  <c r="BW108" i="10"/>
  <c r="BU108" i="10" s="1"/>
  <c r="BS108" i="10"/>
  <c r="BR108" i="10"/>
  <c r="BQ108" i="10"/>
  <c r="BP108" i="10"/>
  <c r="BO108" i="10"/>
  <c r="BN108" i="10"/>
  <c r="BM108" i="10"/>
  <c r="BL108" i="10"/>
  <c r="BK108" i="10"/>
  <c r="BJ108" i="10"/>
  <c r="BI108" i="10"/>
  <c r="BH108" i="10"/>
  <c r="BG108" i="10"/>
  <c r="BF108" i="10"/>
  <c r="BE108" i="10"/>
  <c r="BD108" i="10"/>
  <c r="BC108" i="10"/>
  <c r="BB108" i="10"/>
  <c r="AZ108" i="10"/>
  <c r="AE108" i="10"/>
  <c r="AC108" i="10" s="1"/>
  <c r="I108" i="10"/>
  <c r="G108" i="10" s="1"/>
  <c r="DK107" i="10"/>
  <c r="DK124" i="10" s="1"/>
  <c r="DH107" i="10"/>
  <c r="DH124" i="10" s="1"/>
  <c r="DG107" i="10"/>
  <c r="DF107" i="10"/>
  <c r="DE107" i="10"/>
  <c r="DD107" i="10"/>
  <c r="DC107" i="10"/>
  <c r="DB107" i="10"/>
  <c r="DA107" i="10"/>
  <c r="CZ107" i="10"/>
  <c r="CY107" i="10"/>
  <c r="CX107" i="10"/>
  <c r="CW107" i="10"/>
  <c r="CV107" i="10"/>
  <c r="CU107" i="10"/>
  <c r="CT107" i="10"/>
  <c r="CS107" i="10"/>
  <c r="CR107" i="10"/>
  <c r="CN107" i="10"/>
  <c r="CN114" i="10" s="1"/>
  <c r="CM107" i="10"/>
  <c r="BS107" i="10"/>
  <c r="BS124" i="10" s="1"/>
  <c r="BR107" i="10"/>
  <c r="BR124" i="10" s="1"/>
  <c r="BP107" i="10"/>
  <c r="BP124" i="10" s="1"/>
  <c r="BO107" i="10"/>
  <c r="BN107" i="10"/>
  <c r="BL107" i="10"/>
  <c r="BK107" i="10"/>
  <c r="BJ107" i="10"/>
  <c r="BI107" i="10"/>
  <c r="BH107" i="10"/>
  <c r="BG107" i="10"/>
  <c r="BF107" i="10"/>
  <c r="BE107" i="10"/>
  <c r="BD107" i="10"/>
  <c r="BC107" i="10"/>
  <c r="BC124" i="10" s="1"/>
  <c r="BB107" i="10"/>
  <c r="BA107" i="10"/>
  <c r="AZ107" i="10"/>
  <c r="AV107" i="10"/>
  <c r="AV124" i="10" s="1"/>
  <c r="AU107" i="10"/>
  <c r="AU124" i="10" s="1"/>
  <c r="AQ107" i="10"/>
  <c r="AC107" i="10"/>
  <c r="Y107" i="10"/>
  <c r="DK106" i="10"/>
  <c r="DJ106" i="10"/>
  <c r="DI106" i="10"/>
  <c r="DH106" i="10"/>
  <c r="DH114" i="10" s="1"/>
  <c r="DG106" i="10"/>
  <c r="DE106" i="10"/>
  <c r="DD106" i="10"/>
  <c r="DC106" i="10"/>
  <c r="DB106" i="10"/>
  <c r="DA106" i="10"/>
  <c r="CZ106" i="10"/>
  <c r="CY106" i="10"/>
  <c r="CX106" i="10"/>
  <c r="CW106" i="10"/>
  <c r="CV106" i="10"/>
  <c r="CU106" i="10"/>
  <c r="CT106" i="10"/>
  <c r="CS106" i="10"/>
  <c r="CR106" i="10"/>
  <c r="CJ106" i="10"/>
  <c r="BU106" i="10" s="1"/>
  <c r="BW106" i="10"/>
  <c r="BW119" i="10" s="1"/>
  <c r="BS106" i="10"/>
  <c r="BR106" i="10"/>
  <c r="BQ106" i="10"/>
  <c r="BP106" i="10"/>
  <c r="BO106" i="10"/>
  <c r="BM106" i="10"/>
  <c r="BL106" i="10"/>
  <c r="BK106" i="10"/>
  <c r="BJ106" i="10"/>
  <c r="BI106" i="10"/>
  <c r="BH106" i="10"/>
  <c r="BG106" i="10"/>
  <c r="BF106" i="10"/>
  <c r="BE106" i="10"/>
  <c r="BD106" i="10"/>
  <c r="BC106" i="10"/>
  <c r="BB106" i="10"/>
  <c r="AZ106" i="10"/>
  <c r="AR106" i="10"/>
  <c r="BN106" i="10" s="1"/>
  <c r="AE106" i="10"/>
  <c r="AC106" i="10" s="1"/>
  <c r="V106" i="10"/>
  <c r="G106" i="10"/>
  <c r="DM106" i="10" s="1"/>
  <c r="DJ105" i="10"/>
  <c r="DI105" i="10"/>
  <c r="DH105" i="10"/>
  <c r="DG105" i="10"/>
  <c r="DF105" i="10"/>
  <c r="DE105" i="10"/>
  <c r="DD105" i="10"/>
  <c r="DC105" i="10"/>
  <c r="DB105" i="10"/>
  <c r="DA105" i="10"/>
  <c r="CZ105" i="10"/>
  <c r="CY105" i="10"/>
  <c r="CX105" i="10"/>
  <c r="CW105" i="10"/>
  <c r="CV105" i="10"/>
  <c r="CU105" i="10"/>
  <c r="CS105" i="10"/>
  <c r="CR105" i="10"/>
  <c r="BX105" i="10"/>
  <c r="CT105" i="10" s="1"/>
  <c r="BU105" i="10"/>
  <c r="BR105" i="10"/>
  <c r="BQ105" i="10"/>
  <c r="BP105" i="10"/>
  <c r="BO105" i="10"/>
  <c r="BN105" i="10"/>
  <c r="BM105" i="10"/>
  <c r="BL105" i="10"/>
  <c r="BK105" i="10"/>
  <c r="BJ105" i="10"/>
  <c r="BI105" i="10"/>
  <c r="BH105" i="10"/>
  <c r="BG105" i="10"/>
  <c r="BF105" i="10"/>
  <c r="BE105" i="10"/>
  <c r="BD105" i="10"/>
  <c r="BC105" i="10"/>
  <c r="BB105" i="10"/>
  <c r="BA105" i="10"/>
  <c r="AZ105" i="10"/>
  <c r="AF105" i="10"/>
  <c r="AC105" i="10" s="1"/>
  <c r="AA105" i="10"/>
  <c r="J105" i="10"/>
  <c r="DJ104" i="10"/>
  <c r="DI104" i="10"/>
  <c r="DH104" i="10"/>
  <c r="DG104" i="10"/>
  <c r="DF104" i="10"/>
  <c r="DE104" i="10"/>
  <c r="DD104" i="10"/>
  <c r="DC104" i="10"/>
  <c r="DB104" i="10"/>
  <c r="DA104" i="10"/>
  <c r="CZ104" i="10"/>
  <c r="CY104" i="10"/>
  <c r="CX104" i="10"/>
  <c r="CW104" i="10"/>
  <c r="CV104" i="10"/>
  <c r="CU104" i="10"/>
  <c r="CT104" i="10"/>
  <c r="CS104" i="10"/>
  <c r="CR104" i="10"/>
  <c r="CO104" i="10"/>
  <c r="BU104" i="10"/>
  <c r="BR104" i="10"/>
  <c r="BQ104" i="10"/>
  <c r="BP104" i="10"/>
  <c r="BO104" i="10"/>
  <c r="BN104" i="10"/>
  <c r="BM104" i="10"/>
  <c r="BL104" i="10"/>
  <c r="BK104" i="10"/>
  <c r="BJ104" i="10"/>
  <c r="BI104" i="10"/>
  <c r="BH104" i="10"/>
  <c r="BG104" i="10"/>
  <c r="BF104" i="10"/>
  <c r="BE104" i="10"/>
  <c r="BD104" i="10"/>
  <c r="BC104" i="10"/>
  <c r="BB104" i="10"/>
  <c r="BA104" i="10"/>
  <c r="AZ104" i="10"/>
  <c r="AW104" i="10"/>
  <c r="AA104" i="10"/>
  <c r="DJ103" i="10"/>
  <c r="DI103" i="10"/>
  <c r="DH103" i="10"/>
  <c r="DG103" i="10"/>
  <c r="DF103" i="10"/>
  <c r="DE103" i="10"/>
  <c r="DC103" i="10"/>
  <c r="DB103" i="10"/>
  <c r="DA103" i="10"/>
  <c r="CZ103" i="10"/>
  <c r="CY103" i="10"/>
  <c r="CX103" i="10"/>
  <c r="CW103" i="10"/>
  <c r="CV103" i="10"/>
  <c r="CU103" i="10"/>
  <c r="CT103" i="10"/>
  <c r="CS103" i="10"/>
  <c r="CR103" i="10"/>
  <c r="CH103" i="10"/>
  <c r="BS103" i="10"/>
  <c r="BR103" i="10"/>
  <c r="BQ103" i="10"/>
  <c r="BP103" i="10"/>
  <c r="BO103" i="10"/>
  <c r="BN103" i="10"/>
  <c r="BM103" i="10"/>
  <c r="BL103" i="10"/>
  <c r="BK103" i="10"/>
  <c r="BJ103" i="10"/>
  <c r="BI103" i="10"/>
  <c r="BH103" i="10"/>
  <c r="BG103" i="10"/>
  <c r="BF103" i="10"/>
  <c r="BE103" i="10"/>
  <c r="BD103" i="10"/>
  <c r="BC103" i="10"/>
  <c r="BB103" i="10"/>
  <c r="BA103" i="10"/>
  <c r="AZ103" i="10"/>
  <c r="AW103" i="10"/>
  <c r="AP103" i="10"/>
  <c r="AC103" i="10"/>
  <c r="AB103" i="10" s="1"/>
  <c r="AX103" i="10" s="1"/>
  <c r="AA103" i="10"/>
  <c r="G103" i="10"/>
  <c r="DM103" i="10" s="1"/>
  <c r="DJ102" i="10"/>
  <c r="DI102" i="10"/>
  <c r="DH102" i="10"/>
  <c r="DG102" i="10"/>
  <c r="DF102" i="10"/>
  <c r="DE102" i="10"/>
  <c r="DD102" i="10"/>
  <c r="DC102" i="10"/>
  <c r="DB102" i="10"/>
  <c r="DA102" i="10"/>
  <c r="CZ102" i="10"/>
  <c r="CY102" i="10"/>
  <c r="CX102" i="10"/>
  <c r="CV102" i="10"/>
  <c r="CU102" i="10"/>
  <c r="CT102" i="10"/>
  <c r="CS102" i="10"/>
  <c r="CR102" i="10"/>
  <c r="CA102" i="10"/>
  <c r="BR102" i="10"/>
  <c r="BQ102" i="10"/>
  <c r="BP102" i="10"/>
  <c r="BO102" i="10"/>
  <c r="BN102" i="10"/>
  <c r="BM102" i="10"/>
  <c r="BL102" i="10"/>
  <c r="BK102" i="10"/>
  <c r="BJ102" i="10"/>
  <c r="BI102" i="10"/>
  <c r="BH102" i="10"/>
  <c r="BG102" i="10"/>
  <c r="BF102" i="10"/>
  <c r="BD102" i="10"/>
  <c r="BC102" i="10"/>
  <c r="BB102" i="10"/>
  <c r="BA102" i="10"/>
  <c r="AZ102" i="10"/>
  <c r="AW102" i="10"/>
  <c r="AI102" i="10"/>
  <c r="AA102" i="10"/>
  <c r="G102" i="10" s="1"/>
  <c r="DM102" i="10" s="1"/>
  <c r="DJ101" i="10"/>
  <c r="DI101" i="10"/>
  <c r="DH101" i="10"/>
  <c r="DG101" i="10"/>
  <c r="DE101" i="10"/>
  <c r="DD101" i="10"/>
  <c r="DC101" i="10"/>
  <c r="DB101" i="10"/>
  <c r="DA101" i="10"/>
  <c r="CZ101" i="10"/>
  <c r="CY101" i="10"/>
  <c r="CX101" i="10"/>
  <c r="CW101" i="10"/>
  <c r="CV101" i="10"/>
  <c r="CU101" i="10"/>
  <c r="CT101" i="10"/>
  <c r="CS101" i="10"/>
  <c r="CR101" i="10"/>
  <c r="CO101" i="10"/>
  <c r="CJ101" i="10"/>
  <c r="BX101" i="10"/>
  <c r="BR101" i="10"/>
  <c r="BQ101" i="10"/>
  <c r="BQ119" i="10" s="1"/>
  <c r="BP101" i="10"/>
  <c r="BO101" i="10"/>
  <c r="BN101" i="10"/>
  <c r="BM101" i="10"/>
  <c r="BL101" i="10"/>
  <c r="BK101" i="10"/>
  <c r="BJ101" i="10"/>
  <c r="BI101" i="10"/>
  <c r="BH101" i="10"/>
  <c r="BG101" i="10"/>
  <c r="BF101" i="10"/>
  <c r="BE101" i="10"/>
  <c r="BD101" i="10"/>
  <c r="BC101" i="10"/>
  <c r="BA101" i="10"/>
  <c r="AZ101" i="10"/>
  <c r="AW101" i="10"/>
  <c r="AR101" i="10"/>
  <c r="AQ101" i="10"/>
  <c r="AF101" i="10"/>
  <c r="BB101" i="10" s="1"/>
  <c r="AA101" i="10"/>
  <c r="V101" i="10"/>
  <c r="G101" i="10"/>
  <c r="DM101" i="10" s="1"/>
  <c r="DJ100" i="10"/>
  <c r="DI100" i="10"/>
  <c r="DH100" i="10"/>
  <c r="DG100" i="10"/>
  <c r="DE100" i="10"/>
  <c r="DD100" i="10"/>
  <c r="DC100" i="10"/>
  <c r="DA100" i="10"/>
  <c r="CZ100" i="10"/>
  <c r="CY100" i="10"/>
  <c r="CY119" i="10" s="1"/>
  <c r="CX100" i="10"/>
  <c r="CW100" i="10"/>
  <c r="CS100" i="10"/>
  <c r="CR100" i="10"/>
  <c r="CF100" i="10"/>
  <c r="BZ100" i="10"/>
  <c r="BY100" i="10"/>
  <c r="BR100" i="10"/>
  <c r="BQ100" i="10"/>
  <c r="BP100" i="10"/>
  <c r="BO100" i="10"/>
  <c r="BO119" i="10" s="1"/>
  <c r="BN100" i="10"/>
  <c r="BL100" i="10"/>
  <c r="BK100" i="10"/>
  <c r="BI100" i="10"/>
  <c r="BH100" i="10"/>
  <c r="BH119" i="10" s="1"/>
  <c r="BG100" i="10"/>
  <c r="BF100" i="10"/>
  <c r="BE100" i="10"/>
  <c r="BC100" i="10"/>
  <c r="BA100" i="10"/>
  <c r="AZ100" i="10"/>
  <c r="AW100" i="10"/>
  <c r="AQ100" i="10"/>
  <c r="AN100" i="10"/>
  <c r="AN119" i="10" s="1"/>
  <c r="AH100" i="10"/>
  <c r="AF100" i="10"/>
  <c r="AA100" i="10"/>
  <c r="V100" i="10"/>
  <c r="J100" i="10"/>
  <c r="BB100" i="10" s="1"/>
  <c r="DM99" i="10"/>
  <c r="DJ99" i="10"/>
  <c r="DI99" i="10"/>
  <c r="DH99" i="10"/>
  <c r="DG99" i="10"/>
  <c r="DE99" i="10"/>
  <c r="DD99" i="10"/>
  <c r="DC99" i="10"/>
  <c r="DB99" i="10"/>
  <c r="DA99" i="10"/>
  <c r="CW99" i="10"/>
  <c r="CV99" i="10"/>
  <c r="CS99" i="10"/>
  <c r="CR99" i="10"/>
  <c r="CO99" i="10"/>
  <c r="DK99" i="10" s="1"/>
  <c r="CJ99" i="10"/>
  <c r="CH99" i="10"/>
  <c r="CH118" i="10" s="1"/>
  <c r="CD99" i="10"/>
  <c r="CC99" i="10"/>
  <c r="CC118" i="10" s="1"/>
  <c r="CC125" i="10" s="1"/>
  <c r="CC127" i="10" s="1"/>
  <c r="CB99" i="10"/>
  <c r="CB114" i="10" s="1"/>
  <c r="BY99" i="10"/>
  <c r="CU99" i="10" s="1"/>
  <c r="BX99" i="10"/>
  <c r="BX118" i="10" s="1"/>
  <c r="BS99" i="10"/>
  <c r="BR99" i="10"/>
  <c r="BR118" i="10" s="1"/>
  <c r="BQ99" i="10"/>
  <c r="BP99" i="10"/>
  <c r="BO99" i="10"/>
  <c r="BM99" i="10"/>
  <c r="BK99" i="10"/>
  <c r="BJ99" i="10"/>
  <c r="BI99" i="10"/>
  <c r="BE99" i="10"/>
  <c r="BD99" i="10"/>
  <c r="BA99" i="10"/>
  <c r="AW99" i="10"/>
  <c r="AR99" i="10"/>
  <c r="AQ99" i="10"/>
  <c r="AP99" i="10"/>
  <c r="AL99" i="10"/>
  <c r="AL118" i="10" s="1"/>
  <c r="AK99" i="10"/>
  <c r="AK114" i="10" s="1"/>
  <c r="AJ99" i="10"/>
  <c r="BF99" i="10" s="1"/>
  <c r="AG99" i="10"/>
  <c r="AG118" i="10" s="1"/>
  <c r="AF99" i="10"/>
  <c r="BB99" i="10" s="1"/>
  <c r="AD99" i="10"/>
  <c r="AA99" i="10"/>
  <c r="V99" i="10"/>
  <c r="V118" i="10" s="1"/>
  <c r="G99" i="10"/>
  <c r="DK98" i="10"/>
  <c r="DJ98" i="10"/>
  <c r="DJ118" i="10" s="1"/>
  <c r="DI98" i="10"/>
  <c r="DH98" i="10"/>
  <c r="DH118" i="10" s="1"/>
  <c r="DG98" i="10"/>
  <c r="DG118" i="10" s="1"/>
  <c r="DF98" i="10"/>
  <c r="DD98" i="10"/>
  <c r="DC98" i="10"/>
  <c r="DC118" i="10" s="1"/>
  <c r="DB98" i="10"/>
  <c r="DA98" i="10"/>
  <c r="DA118" i="10" s="1"/>
  <c r="CZ98" i="10"/>
  <c r="CY98" i="10"/>
  <c r="CX98" i="10"/>
  <c r="CW98" i="10"/>
  <c r="CW118" i="10" s="1"/>
  <c r="CV98" i="10"/>
  <c r="CV118" i="10" s="1"/>
  <c r="CU98" i="10"/>
  <c r="CT98" i="10"/>
  <c r="CS98" i="10"/>
  <c r="CR98" i="10"/>
  <c r="CR118" i="10" s="1"/>
  <c r="CI98" i="10"/>
  <c r="BU98" i="10" s="1"/>
  <c r="BS98" i="10"/>
  <c r="BR98" i="10"/>
  <c r="BQ98" i="10"/>
  <c r="BQ118" i="10" s="1"/>
  <c r="BP98" i="10"/>
  <c r="BP118" i="10" s="1"/>
  <c r="BO98" i="10"/>
  <c r="BN98" i="10"/>
  <c r="BL98" i="10"/>
  <c r="BK98" i="10"/>
  <c r="BJ98" i="10"/>
  <c r="BI98" i="10"/>
  <c r="BI118" i="10" s="1"/>
  <c r="BH98" i="10"/>
  <c r="BG98" i="10"/>
  <c r="BF98" i="10"/>
  <c r="BF118" i="10" s="1"/>
  <c r="BE98" i="10"/>
  <c r="BD98" i="10"/>
  <c r="BC98" i="10"/>
  <c r="BB98" i="10"/>
  <c r="BA98" i="10"/>
  <c r="BA118" i="10" s="1"/>
  <c r="AZ98" i="10"/>
  <c r="AQ98" i="10"/>
  <c r="AC98" i="10"/>
  <c r="AA98" i="10"/>
  <c r="U98" i="10"/>
  <c r="G98" i="10"/>
  <c r="DN97" i="10"/>
  <c r="DM97" i="10"/>
  <c r="DF97" i="10"/>
  <c r="CQ97" i="10"/>
  <c r="BU97" i="10"/>
  <c r="BT97" i="10"/>
  <c r="CP97" i="10" s="1"/>
  <c r="BN97" i="10"/>
  <c r="AY97" i="10"/>
  <c r="AX97" i="10"/>
  <c r="AC97" i="10"/>
  <c r="AB97" i="10"/>
  <c r="G97" i="10"/>
  <c r="DN96" i="10"/>
  <c r="DF96" i="10"/>
  <c r="CQ96" i="10" s="1"/>
  <c r="DO96" i="10" s="1"/>
  <c r="BU96" i="10"/>
  <c r="BN96" i="10"/>
  <c r="AY96" i="10"/>
  <c r="AC96" i="10"/>
  <c r="G96" i="10"/>
  <c r="DM96" i="10" s="1"/>
  <c r="DM95" i="10"/>
  <c r="DK95" i="10"/>
  <c r="DJ95" i="10"/>
  <c r="DI95" i="10"/>
  <c r="DH95" i="10"/>
  <c r="DG95" i="10"/>
  <c r="DF95" i="10"/>
  <c r="DE95" i="10"/>
  <c r="DD95" i="10"/>
  <c r="DC95" i="10"/>
  <c r="DB95" i="10"/>
  <c r="DA95" i="10"/>
  <c r="CZ95" i="10"/>
  <c r="CY95" i="10"/>
  <c r="CX95" i="10"/>
  <c r="CW95" i="10"/>
  <c r="CV95" i="10"/>
  <c r="CU95" i="10"/>
  <c r="CT95" i="10"/>
  <c r="CS95" i="10"/>
  <c r="CR95" i="10"/>
  <c r="BU95" i="10"/>
  <c r="BT95" i="10"/>
  <c r="CP95" i="10" s="1"/>
  <c r="BS95" i="10"/>
  <c r="BR95" i="10"/>
  <c r="BQ95" i="10"/>
  <c r="BP95" i="10"/>
  <c r="BO95" i="10"/>
  <c r="BN95" i="10"/>
  <c r="BM95" i="10"/>
  <c r="BL95" i="10"/>
  <c r="BK95" i="10"/>
  <c r="BJ95" i="10"/>
  <c r="BI95" i="10"/>
  <c r="BH95" i="10"/>
  <c r="BG95" i="10"/>
  <c r="BF95" i="10"/>
  <c r="BE95" i="10"/>
  <c r="BD95" i="10"/>
  <c r="BC95" i="10"/>
  <c r="BB95" i="10"/>
  <c r="BA95" i="10"/>
  <c r="AZ95" i="10"/>
  <c r="AC95" i="10"/>
  <c r="AB95" i="10"/>
  <c r="AX95" i="10" s="1"/>
  <c r="G95" i="10"/>
  <c r="CV94" i="10"/>
  <c r="CN94" i="10"/>
  <c r="CM94" i="10"/>
  <c r="CL94" i="10"/>
  <c r="CG94" i="10"/>
  <c r="CF94" i="10"/>
  <c r="CE94" i="10"/>
  <c r="CD94" i="10"/>
  <c r="CC94" i="10"/>
  <c r="CB94" i="10"/>
  <c r="CA94" i="10"/>
  <c r="BZ94" i="10"/>
  <c r="BQ94" i="10"/>
  <c r="AV94" i="10"/>
  <c r="AU94" i="10"/>
  <c r="AT94" i="10"/>
  <c r="AP94" i="10"/>
  <c r="AO94" i="10"/>
  <c r="AN94" i="10"/>
  <c r="AM94" i="10"/>
  <c r="AL94" i="10"/>
  <c r="AK94" i="10"/>
  <c r="AJ94" i="10"/>
  <c r="AI94" i="10"/>
  <c r="AH94" i="10"/>
  <c r="Z94" i="10"/>
  <c r="Y94" i="10"/>
  <c r="X94" i="10"/>
  <c r="W94" i="10"/>
  <c r="V94" i="10"/>
  <c r="U94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DM93" i="10"/>
  <c r="DK93" i="10"/>
  <c r="DJ93" i="10"/>
  <c r="DI93" i="10"/>
  <c r="DH93" i="10"/>
  <c r="DG93" i="10"/>
  <c r="DF93" i="10"/>
  <c r="DE93" i="10"/>
  <c r="DD93" i="10"/>
  <c r="DC93" i="10"/>
  <c r="DB93" i="10"/>
  <c r="DA93" i="10"/>
  <c r="CZ93" i="10"/>
  <c r="CY93" i="10"/>
  <c r="CX93" i="10"/>
  <c r="CW93" i="10"/>
  <c r="CV93" i="10"/>
  <c r="CU93" i="10"/>
  <c r="CS93" i="10"/>
  <c r="CR93" i="10"/>
  <c r="BX93" i="10"/>
  <c r="BU93" i="10"/>
  <c r="BS93" i="10"/>
  <c r="BR93" i="10"/>
  <c r="BQ93" i="10"/>
  <c r="BP93" i="10"/>
  <c r="BO93" i="10"/>
  <c r="BN93" i="10"/>
  <c r="BM93" i="10"/>
  <c r="BL93" i="10"/>
  <c r="BK93" i="10"/>
  <c r="BJ93" i="10"/>
  <c r="BI93" i="10"/>
  <c r="BH93" i="10"/>
  <c r="BG93" i="10"/>
  <c r="BF93" i="10"/>
  <c r="BE93" i="10"/>
  <c r="BD93" i="10"/>
  <c r="BC93" i="10"/>
  <c r="BA93" i="10"/>
  <c r="AZ93" i="10"/>
  <c r="AF93" i="10"/>
  <c r="AC93" i="10"/>
  <c r="G93" i="10"/>
  <c r="DJ92" i="10"/>
  <c r="DI92" i="10"/>
  <c r="DH92" i="10"/>
  <c r="DG92" i="10"/>
  <c r="DF92" i="10"/>
  <c r="DE92" i="10"/>
  <c r="DD92" i="10"/>
  <c r="DC92" i="10"/>
  <c r="DB92" i="10"/>
  <c r="DA92" i="10"/>
  <c r="CZ92" i="10"/>
  <c r="CY92" i="10"/>
  <c r="CX92" i="10"/>
  <c r="CW92" i="10"/>
  <c r="CV92" i="10"/>
  <c r="CU92" i="10"/>
  <c r="CT92" i="10"/>
  <c r="CR92" i="10"/>
  <c r="BW92" i="10"/>
  <c r="BU92" i="10" s="1"/>
  <c r="BS92" i="10"/>
  <c r="BR92" i="10"/>
  <c r="BQ92" i="10"/>
  <c r="BP92" i="10"/>
  <c r="BO92" i="10"/>
  <c r="BN92" i="10"/>
  <c r="BM92" i="10"/>
  <c r="BL92" i="10"/>
  <c r="BK92" i="10"/>
  <c r="BJ92" i="10"/>
  <c r="BI92" i="10"/>
  <c r="BH92" i="10"/>
  <c r="BG92" i="10"/>
  <c r="BF92" i="10"/>
  <c r="BE92" i="10"/>
  <c r="BD92" i="10"/>
  <c r="BC92" i="10"/>
  <c r="BB92" i="10"/>
  <c r="BA92" i="10"/>
  <c r="AY92" i="10" s="1"/>
  <c r="DN92" i="10" s="1"/>
  <c r="AZ92" i="10"/>
  <c r="AE92" i="10"/>
  <c r="AC92" i="10"/>
  <c r="AA92" i="10"/>
  <c r="DK92" i="10" s="1"/>
  <c r="G92" i="10"/>
  <c r="DM91" i="10"/>
  <c r="DK91" i="10"/>
  <c r="DJ91" i="10"/>
  <c r="DI91" i="10"/>
  <c r="DH91" i="10"/>
  <c r="DG91" i="10"/>
  <c r="DF91" i="10"/>
  <c r="DD91" i="10"/>
  <c r="DC91" i="10"/>
  <c r="DB91" i="10"/>
  <c r="DA91" i="10"/>
  <c r="CZ91" i="10"/>
  <c r="CY91" i="10"/>
  <c r="CX91" i="10"/>
  <c r="CW91" i="10"/>
  <c r="CV91" i="10"/>
  <c r="CU91" i="10"/>
  <c r="CT91" i="10"/>
  <c r="CR91" i="10"/>
  <c r="CI91" i="10"/>
  <c r="DE91" i="10" s="1"/>
  <c r="BW91" i="10"/>
  <c r="BS91" i="10"/>
  <c r="BR91" i="10"/>
  <c r="BQ91" i="10"/>
  <c r="BP91" i="10"/>
  <c r="BO91" i="10"/>
  <c r="BN91" i="10"/>
  <c r="BL91" i="10"/>
  <c r="BK91" i="10"/>
  <c r="BJ91" i="10"/>
  <c r="BI91" i="10"/>
  <c r="BH91" i="10"/>
  <c r="BG91" i="10"/>
  <c r="BF91" i="10"/>
  <c r="BE91" i="10"/>
  <c r="BD91" i="10"/>
  <c r="BC91" i="10"/>
  <c r="BB91" i="10"/>
  <c r="AZ91" i="10"/>
  <c r="AQ91" i="10"/>
  <c r="BM91" i="10" s="1"/>
  <c r="AE91" i="10"/>
  <c r="G91" i="10"/>
  <c r="DK90" i="10"/>
  <c r="DJ90" i="10"/>
  <c r="DJ94" i="10" s="1"/>
  <c r="DI90" i="10"/>
  <c r="DH90" i="10"/>
  <c r="DF90" i="10"/>
  <c r="DE90" i="10"/>
  <c r="DD90" i="10"/>
  <c r="DC90" i="10"/>
  <c r="DB90" i="10"/>
  <c r="DA90" i="10"/>
  <c r="CZ90" i="10"/>
  <c r="CY90" i="10"/>
  <c r="CX90" i="10"/>
  <c r="CW90" i="10"/>
  <c r="CV90" i="10"/>
  <c r="CT90" i="10"/>
  <c r="CS90" i="10"/>
  <c r="CR90" i="10"/>
  <c r="CK90" i="10"/>
  <c r="DG90" i="10" s="1"/>
  <c r="BY90" i="10"/>
  <c r="BY94" i="10" s="1"/>
  <c r="BS90" i="10"/>
  <c r="BR90" i="10"/>
  <c r="BQ90" i="10"/>
  <c r="BP90" i="10"/>
  <c r="BO90" i="10"/>
  <c r="BN90" i="10"/>
  <c r="BL90" i="10"/>
  <c r="BK90" i="10"/>
  <c r="BJ90" i="10"/>
  <c r="BI90" i="10"/>
  <c r="BH90" i="10"/>
  <c r="BG90" i="10"/>
  <c r="BF90" i="10"/>
  <c r="BE90" i="10"/>
  <c r="BD90" i="10"/>
  <c r="BC90" i="10"/>
  <c r="BB90" i="10"/>
  <c r="BA90" i="10"/>
  <c r="AS90" i="10"/>
  <c r="AQ90" i="10"/>
  <c r="AG90" i="10"/>
  <c r="H90" i="10"/>
  <c r="AZ90" i="10" s="1"/>
  <c r="G90" i="10"/>
  <c r="DM90" i="10" s="1"/>
  <c r="DM89" i="10"/>
  <c r="DJ89" i="10"/>
  <c r="DI89" i="10"/>
  <c r="DH89" i="10"/>
  <c r="DF89" i="10"/>
  <c r="DE89" i="10"/>
  <c r="DD89" i="10"/>
  <c r="DC89" i="10"/>
  <c r="DB89" i="10"/>
  <c r="DA89" i="10"/>
  <c r="CZ89" i="10"/>
  <c r="CY89" i="10"/>
  <c r="CX89" i="10"/>
  <c r="CW89" i="10"/>
  <c r="CV89" i="10"/>
  <c r="CU89" i="10"/>
  <c r="CT89" i="10"/>
  <c r="CS89" i="10"/>
  <c r="CK89" i="10"/>
  <c r="BV89" i="10"/>
  <c r="CR89" i="10" s="1"/>
  <c r="BR89" i="10"/>
  <c r="BQ89" i="10"/>
  <c r="BP89" i="10"/>
  <c r="BN89" i="10"/>
  <c r="BM89" i="10"/>
  <c r="BL89" i="10"/>
  <c r="BK89" i="10"/>
  <c r="BJ89" i="10"/>
  <c r="BI89" i="10"/>
  <c r="BH89" i="10"/>
  <c r="BG89" i="10"/>
  <c r="BF89" i="10"/>
  <c r="BE89" i="10"/>
  <c r="BD89" i="10"/>
  <c r="BC89" i="10"/>
  <c r="BB89" i="10"/>
  <c r="BA89" i="10"/>
  <c r="AW89" i="10"/>
  <c r="BS89" i="10" s="1"/>
  <c r="AS89" i="10"/>
  <c r="AD89" i="10"/>
  <c r="AZ89" i="10" s="1"/>
  <c r="AA89" i="10"/>
  <c r="G89" i="10"/>
  <c r="DM88" i="10"/>
  <c r="DJ88" i="10"/>
  <c r="DI88" i="10"/>
  <c r="DH88" i="10"/>
  <c r="DG88" i="10"/>
  <c r="DF88" i="10"/>
  <c r="DE88" i="10"/>
  <c r="DD88" i="10"/>
  <c r="DC88" i="10"/>
  <c r="DB88" i="10"/>
  <c r="DA88" i="10"/>
  <c r="CZ88" i="10"/>
  <c r="CY88" i="10"/>
  <c r="CX88" i="10"/>
  <c r="CW88" i="10"/>
  <c r="CV88" i="10"/>
  <c r="CU88" i="10"/>
  <c r="CT88" i="10"/>
  <c r="CH88" i="10"/>
  <c r="BW88" i="10"/>
  <c r="CS88" i="10" s="1"/>
  <c r="BV88" i="10"/>
  <c r="CR88" i="10" s="1"/>
  <c r="BR88" i="10"/>
  <c r="BQ88" i="10"/>
  <c r="BP88" i="10"/>
  <c r="BO88" i="10"/>
  <c r="BN88" i="10"/>
  <c r="BM88" i="10"/>
  <c r="BK88" i="10"/>
  <c r="BJ88" i="10"/>
  <c r="BI88" i="10"/>
  <c r="BH88" i="10"/>
  <c r="BG88" i="10"/>
  <c r="BF88" i="10"/>
  <c r="BE88" i="10"/>
  <c r="BD88" i="10"/>
  <c r="BC88" i="10"/>
  <c r="BB88" i="10"/>
  <c r="AW88" i="10"/>
  <c r="BS88" i="10" s="1"/>
  <c r="AP88" i="10"/>
  <c r="BL88" i="10" s="1"/>
  <c r="AE88" i="10"/>
  <c r="BA88" i="10" s="1"/>
  <c r="AD88" i="10"/>
  <c r="AA88" i="10"/>
  <c r="G88" i="10" s="1"/>
  <c r="DM87" i="10"/>
  <c r="DJ87" i="10"/>
  <c r="DI87" i="10"/>
  <c r="DH87" i="10"/>
  <c r="DG87" i="10"/>
  <c r="DD87" i="10"/>
  <c r="DC87" i="10"/>
  <c r="DB87" i="10"/>
  <c r="DA87" i="10"/>
  <c r="CZ87" i="10"/>
  <c r="CY87" i="10"/>
  <c r="CX87" i="10"/>
  <c r="CW87" i="10"/>
  <c r="CV87" i="10"/>
  <c r="CU87" i="10"/>
  <c r="CT87" i="10"/>
  <c r="CS87" i="10"/>
  <c r="CO87" i="10"/>
  <c r="DK87" i="10" s="1"/>
  <c r="CJ87" i="10"/>
  <c r="CI87" i="10"/>
  <c r="CH87" i="10"/>
  <c r="BW87" i="10"/>
  <c r="BV87" i="10"/>
  <c r="CR87" i="10" s="1"/>
  <c r="BR87" i="10"/>
  <c r="BQ87" i="10"/>
  <c r="BP87" i="10"/>
  <c r="BO87" i="10"/>
  <c r="BL87" i="10"/>
  <c r="BK87" i="10"/>
  <c r="BJ87" i="10"/>
  <c r="BI87" i="10"/>
  <c r="BH87" i="10"/>
  <c r="BG87" i="10"/>
  <c r="BF87" i="10"/>
  <c r="BE87" i="10"/>
  <c r="BD87" i="10"/>
  <c r="BC87" i="10"/>
  <c r="BB87" i="10"/>
  <c r="AW87" i="10"/>
  <c r="AR87" i="10"/>
  <c r="AR126" i="10" s="1"/>
  <c r="AQ87" i="10"/>
  <c r="BM87" i="10" s="1"/>
  <c r="AP87" i="10"/>
  <c r="AP126" i="10" s="1"/>
  <c r="AE87" i="10"/>
  <c r="BA87" i="10" s="1"/>
  <c r="AD87" i="10"/>
  <c r="AA87" i="10"/>
  <c r="G87" i="10"/>
  <c r="DK86" i="10"/>
  <c r="DJ86" i="10"/>
  <c r="DI86" i="10"/>
  <c r="DH86" i="10"/>
  <c r="DF86" i="10"/>
  <c r="DE86" i="10"/>
  <c r="DD86" i="10"/>
  <c r="DC86" i="10"/>
  <c r="DB86" i="10"/>
  <c r="DA86" i="10"/>
  <c r="CZ86" i="10"/>
  <c r="CY86" i="10"/>
  <c r="CX86" i="10"/>
  <c r="CW86" i="10"/>
  <c r="CV86" i="10"/>
  <c r="CU86" i="10"/>
  <c r="CT86" i="10"/>
  <c r="CS86" i="10"/>
  <c r="CR86" i="10"/>
  <c r="CK86" i="10"/>
  <c r="BU86" i="10" s="1"/>
  <c r="BS86" i="10"/>
  <c r="BR86" i="10"/>
  <c r="BQ86" i="10"/>
  <c r="BP86" i="10"/>
  <c r="BN86" i="10"/>
  <c r="BM86" i="10"/>
  <c r="BL86" i="10"/>
  <c r="BK86" i="10"/>
  <c r="BJ86" i="10"/>
  <c r="BI86" i="10"/>
  <c r="BH86" i="10"/>
  <c r="BG86" i="10"/>
  <c r="BF86" i="10"/>
  <c r="BE86" i="10"/>
  <c r="BD86" i="10"/>
  <c r="BC86" i="10"/>
  <c r="BB86" i="10"/>
  <c r="BA86" i="10"/>
  <c r="AZ86" i="10"/>
  <c r="AS86" i="10"/>
  <c r="BO86" i="10" s="1"/>
  <c r="AC86" i="10"/>
  <c r="G86" i="10"/>
  <c r="DM86" i="10" s="1"/>
  <c r="DK85" i="10"/>
  <c r="DJ85" i="10"/>
  <c r="DI85" i="10"/>
  <c r="DH85" i="10"/>
  <c r="DF85" i="10"/>
  <c r="DE85" i="10"/>
  <c r="DD85" i="10"/>
  <c r="DC85" i="10"/>
  <c r="DB85" i="10"/>
  <c r="DA85" i="10"/>
  <c r="CZ85" i="10"/>
  <c r="CY85" i="10"/>
  <c r="CX85" i="10"/>
  <c r="CW85" i="10"/>
  <c r="CV85" i="10"/>
  <c r="CU85" i="10"/>
  <c r="CT85" i="10"/>
  <c r="CR85" i="10"/>
  <c r="CK85" i="10"/>
  <c r="DG85" i="10" s="1"/>
  <c r="CI85" i="10"/>
  <c r="BW85" i="10"/>
  <c r="BU85" i="10" s="1"/>
  <c r="BT85" i="10" s="1"/>
  <c r="CP85" i="10" s="1"/>
  <c r="BS85" i="10"/>
  <c r="BR85" i="10"/>
  <c r="BQ85" i="10"/>
  <c r="BP85" i="10"/>
  <c r="BN85" i="10"/>
  <c r="BL85" i="10"/>
  <c r="BK85" i="10"/>
  <c r="BJ85" i="10"/>
  <c r="BI85" i="10"/>
  <c r="BH85" i="10"/>
  <c r="BG85" i="10"/>
  <c r="BF85" i="10"/>
  <c r="BE85" i="10"/>
  <c r="BD85" i="10"/>
  <c r="BC85" i="10"/>
  <c r="BB85" i="10"/>
  <c r="AZ85" i="10"/>
  <c r="AS85" i="10"/>
  <c r="AQ85" i="10"/>
  <c r="AE85" i="10"/>
  <c r="G85" i="10"/>
  <c r="DM85" i="10" s="1"/>
  <c r="DM84" i="10"/>
  <c r="DK84" i="10"/>
  <c r="DJ84" i="10"/>
  <c r="DI84" i="10"/>
  <c r="DH84" i="10"/>
  <c r="DG84" i="10"/>
  <c r="DF84" i="10"/>
  <c r="DE84" i="10"/>
  <c r="DD84" i="10"/>
  <c r="DC84" i="10"/>
  <c r="DB84" i="10"/>
  <c r="DA84" i="10"/>
  <c r="CZ84" i="10"/>
  <c r="CY84" i="10"/>
  <c r="CX84" i="10"/>
  <c r="CW84" i="10"/>
  <c r="CV84" i="10"/>
  <c r="CU84" i="10"/>
  <c r="CT84" i="10"/>
  <c r="CS84" i="10"/>
  <c r="BV84" i="10"/>
  <c r="BU84" i="10" s="1"/>
  <c r="BS84" i="10"/>
  <c r="BR84" i="10"/>
  <c r="BQ84" i="10"/>
  <c r="BP84" i="10"/>
  <c r="BO84" i="10"/>
  <c r="BN84" i="10"/>
  <c r="BM84" i="10"/>
  <c r="BL84" i="10"/>
  <c r="BK84" i="10"/>
  <c r="BJ84" i="10"/>
  <c r="BI84" i="10"/>
  <c r="BH84" i="10"/>
  <c r="BG84" i="10"/>
  <c r="BF84" i="10"/>
  <c r="BE84" i="10"/>
  <c r="BD84" i="10"/>
  <c r="BC84" i="10"/>
  <c r="BB84" i="10"/>
  <c r="BA84" i="10"/>
  <c r="AD84" i="10"/>
  <c r="AC84" i="10" s="1"/>
  <c r="G84" i="10"/>
  <c r="DJ83" i="10"/>
  <c r="DI83" i="10"/>
  <c r="DH83" i="10"/>
  <c r="DG83" i="10"/>
  <c r="DF83" i="10"/>
  <c r="DE83" i="10"/>
  <c r="DD83" i="10"/>
  <c r="DC83" i="10"/>
  <c r="DB83" i="10"/>
  <c r="DA83" i="10"/>
  <c r="CZ83" i="10"/>
  <c r="CY83" i="10"/>
  <c r="CY94" i="10" s="1"/>
  <c r="CX83" i="10"/>
  <c r="CW83" i="10"/>
  <c r="CV83" i="10"/>
  <c r="CU83" i="10"/>
  <c r="CT83" i="10"/>
  <c r="CS83" i="10"/>
  <c r="CR83" i="10"/>
  <c r="CO83" i="10"/>
  <c r="BR83" i="10"/>
  <c r="BQ83" i="10"/>
  <c r="BP83" i="10"/>
  <c r="BO83" i="10"/>
  <c r="BN83" i="10"/>
  <c r="BM83" i="10"/>
  <c r="BL83" i="10"/>
  <c r="BK83" i="10"/>
  <c r="BJ83" i="10"/>
  <c r="BI83" i="10"/>
  <c r="BH83" i="10"/>
  <c r="BG83" i="10"/>
  <c r="BF83" i="10"/>
  <c r="BE83" i="10"/>
  <c r="BD83" i="10"/>
  <c r="BC83" i="10"/>
  <c r="BB83" i="10"/>
  <c r="BA83" i="10"/>
  <c r="AZ83" i="10"/>
  <c r="AW83" i="10"/>
  <c r="AC83" i="10"/>
  <c r="AA83" i="10"/>
  <c r="AA126" i="10" s="1"/>
  <c r="DK82" i="10"/>
  <c r="DJ82" i="10"/>
  <c r="DI82" i="10"/>
  <c r="DH82" i="10"/>
  <c r="DF82" i="10"/>
  <c r="DE82" i="10"/>
  <c r="DD82" i="10"/>
  <c r="DC82" i="10"/>
  <c r="DB82" i="10"/>
  <c r="DA82" i="10"/>
  <c r="CZ82" i="10"/>
  <c r="CY82" i="10"/>
  <c r="CX82" i="10"/>
  <c r="CW82" i="10"/>
  <c r="CW94" i="10" s="1"/>
  <c r="CV82" i="10"/>
  <c r="CU82" i="10"/>
  <c r="CT82" i="10"/>
  <c r="CS82" i="10"/>
  <c r="CK82" i="10"/>
  <c r="BV82" i="10"/>
  <c r="BS82" i="10"/>
  <c r="BR82" i="10"/>
  <c r="BQ82" i="10"/>
  <c r="BP82" i="10"/>
  <c r="BO82" i="10"/>
  <c r="BN82" i="10"/>
  <c r="BM82" i="10"/>
  <c r="BL82" i="10"/>
  <c r="BK82" i="10"/>
  <c r="BJ82" i="10"/>
  <c r="BI82" i="10"/>
  <c r="BH82" i="10"/>
  <c r="BG82" i="10"/>
  <c r="BF82" i="10"/>
  <c r="BE82" i="10"/>
  <c r="BD82" i="10"/>
  <c r="BC82" i="10"/>
  <c r="BB82" i="10"/>
  <c r="BA82" i="10"/>
  <c r="AS82" i="10"/>
  <c r="AD82" i="10"/>
  <c r="AC82" i="10" s="1"/>
  <c r="H82" i="10"/>
  <c r="CR82" i="10" s="1"/>
  <c r="DK81" i="10"/>
  <c r="DJ81" i="10"/>
  <c r="DI81" i="10"/>
  <c r="DI126" i="10" s="1"/>
  <c r="DH81" i="10"/>
  <c r="DG81" i="10"/>
  <c r="DF81" i="10"/>
  <c r="DE81" i="10"/>
  <c r="DD81" i="10"/>
  <c r="DC81" i="10"/>
  <c r="DB81" i="10"/>
  <c r="DA81" i="10"/>
  <c r="CZ81" i="10"/>
  <c r="CY81" i="10"/>
  <c r="CX81" i="10"/>
  <c r="CW81" i="10"/>
  <c r="CV81" i="10"/>
  <c r="CU81" i="10"/>
  <c r="CT81" i="10"/>
  <c r="CS81" i="10"/>
  <c r="BV81" i="10"/>
  <c r="BU81" i="10" s="1"/>
  <c r="BS81" i="10"/>
  <c r="BR81" i="10"/>
  <c r="BQ81" i="10"/>
  <c r="BP81" i="10"/>
  <c r="BO81" i="10"/>
  <c r="BN81" i="10"/>
  <c r="BM81" i="10"/>
  <c r="BL81" i="10"/>
  <c r="BK81" i="10"/>
  <c r="BJ81" i="10"/>
  <c r="BI81" i="10"/>
  <c r="BH81" i="10"/>
  <c r="BG81" i="10"/>
  <c r="BF81" i="10"/>
  <c r="BE81" i="10"/>
  <c r="BD81" i="10"/>
  <c r="BC81" i="10"/>
  <c r="BB81" i="10"/>
  <c r="BA81" i="10"/>
  <c r="AD81" i="10"/>
  <c r="AC81" i="10"/>
  <c r="AB81" i="10" s="1"/>
  <c r="AX81" i="10" s="1"/>
  <c r="H81" i="10"/>
  <c r="G81" i="10"/>
  <c r="DM81" i="10" s="1"/>
  <c r="DK80" i="10"/>
  <c r="DJ80" i="10"/>
  <c r="DI80" i="10"/>
  <c r="DH80" i="10"/>
  <c r="DH94" i="10" s="1"/>
  <c r="DG80" i="10"/>
  <c r="DF80" i="10"/>
  <c r="DE80" i="10"/>
  <c r="DD80" i="10"/>
  <c r="DC80" i="10"/>
  <c r="DB80" i="10"/>
  <c r="DA80" i="10"/>
  <c r="CZ80" i="10"/>
  <c r="CY80" i="10"/>
  <c r="CX80" i="10"/>
  <c r="CW80" i="10"/>
  <c r="CV80" i="10"/>
  <c r="CU80" i="10"/>
  <c r="CT80" i="10"/>
  <c r="BV80" i="10"/>
  <c r="BU80" i="10"/>
  <c r="BT80" i="10" s="1"/>
  <c r="CP80" i="10" s="1"/>
  <c r="BS80" i="10"/>
  <c r="BR80" i="10"/>
  <c r="BQ80" i="10"/>
  <c r="BP80" i="10"/>
  <c r="BO80" i="10"/>
  <c r="BN80" i="10"/>
  <c r="BM80" i="10"/>
  <c r="BL80" i="10"/>
  <c r="BK80" i="10"/>
  <c r="BJ80" i="10"/>
  <c r="BI80" i="10"/>
  <c r="BH80" i="10"/>
  <c r="BG80" i="10"/>
  <c r="BF80" i="10"/>
  <c r="BE80" i="10"/>
  <c r="BD80" i="10"/>
  <c r="BC80" i="10"/>
  <c r="BB80" i="10"/>
  <c r="BA80" i="10"/>
  <c r="AD80" i="10"/>
  <c r="AC80" i="10"/>
  <c r="H80" i="10"/>
  <c r="G80" i="10"/>
  <c r="CZ79" i="10"/>
  <c r="CN79" i="10"/>
  <c r="CM79" i="10"/>
  <c r="CK79" i="10"/>
  <c r="CH79" i="10"/>
  <c r="CF79" i="10"/>
  <c r="CE79" i="10"/>
  <c r="CD79" i="10"/>
  <c r="CC79" i="10"/>
  <c r="CB79" i="10"/>
  <c r="CA79" i="10"/>
  <c r="BZ79" i="10"/>
  <c r="BY79" i="10"/>
  <c r="BX79" i="10"/>
  <c r="BV79" i="10"/>
  <c r="BC79" i="10"/>
  <c r="AV79" i="10"/>
  <c r="AU79" i="10"/>
  <c r="AT79" i="10"/>
  <c r="AS79" i="10"/>
  <c r="AP79" i="10"/>
  <c r="AN79" i="10"/>
  <c r="AM79" i="10"/>
  <c r="AL79" i="10"/>
  <c r="AK79" i="10"/>
  <c r="AJ79" i="10"/>
  <c r="AI79" i="10"/>
  <c r="AH79" i="10"/>
  <c r="AG79" i="10"/>
  <c r="AF79" i="10"/>
  <c r="AD79" i="10"/>
  <c r="Z79" i="10"/>
  <c r="Y79" i="10"/>
  <c r="X79" i="10"/>
  <c r="W79" i="10"/>
  <c r="V79" i="10"/>
  <c r="U79" i="10"/>
  <c r="T79" i="10"/>
  <c r="R79" i="10"/>
  <c r="Q79" i="10"/>
  <c r="P79" i="10"/>
  <c r="O79" i="10"/>
  <c r="N79" i="10"/>
  <c r="M79" i="10"/>
  <c r="L79" i="10"/>
  <c r="K79" i="10"/>
  <c r="J79" i="10"/>
  <c r="H79" i="10"/>
  <c r="DJ78" i="10"/>
  <c r="DI78" i="10"/>
  <c r="DH78" i="10"/>
  <c r="DG78" i="10"/>
  <c r="DF78" i="10"/>
  <c r="DE78" i="10"/>
  <c r="DD78" i="10"/>
  <c r="DC78" i="10"/>
  <c r="DB78" i="10"/>
  <c r="DA78" i="10"/>
  <c r="CZ78" i="10"/>
  <c r="CY78" i="10"/>
  <c r="CX78" i="10"/>
  <c r="CW78" i="10"/>
  <c r="CV78" i="10"/>
  <c r="CU78" i="10"/>
  <c r="CT78" i="10"/>
  <c r="CS78" i="10"/>
  <c r="CR78" i="10"/>
  <c r="CO78" i="10"/>
  <c r="BU78" i="10" s="1"/>
  <c r="BR78" i="10"/>
  <c r="BQ78" i="10"/>
  <c r="BP78" i="10"/>
  <c r="BO78" i="10"/>
  <c r="BN78" i="10"/>
  <c r="BM78" i="10"/>
  <c r="BL78" i="10"/>
  <c r="BK78" i="10"/>
  <c r="BJ78" i="10"/>
  <c r="BI78" i="10"/>
  <c r="BH78" i="10"/>
  <c r="BG78" i="10"/>
  <c r="BF78" i="10"/>
  <c r="BE78" i="10"/>
  <c r="BD78" i="10"/>
  <c r="BC78" i="10"/>
  <c r="BB78" i="10"/>
  <c r="BA78" i="10"/>
  <c r="AZ78" i="10"/>
  <c r="AW78" i="10"/>
  <c r="AC78" i="10" s="1"/>
  <c r="AA78" i="10"/>
  <c r="BS78" i="10" s="1"/>
  <c r="DJ77" i="10"/>
  <c r="DI77" i="10"/>
  <c r="DH77" i="10"/>
  <c r="DG77" i="10"/>
  <c r="DF77" i="10"/>
  <c r="DE77" i="10"/>
  <c r="DD77" i="10"/>
  <c r="DC77" i="10"/>
  <c r="DB77" i="10"/>
  <c r="DA77" i="10"/>
  <c r="CZ77" i="10"/>
  <c r="CY77" i="10"/>
  <c r="CX77" i="10"/>
  <c r="CW77" i="10"/>
  <c r="CV77" i="10"/>
  <c r="CU77" i="10"/>
  <c r="CT77" i="10"/>
  <c r="CR77" i="10"/>
  <c r="CO77" i="10"/>
  <c r="DK77" i="10" s="1"/>
  <c r="CI77" i="10"/>
  <c r="BW77" i="10"/>
  <c r="BU77" i="10" s="1"/>
  <c r="BR77" i="10"/>
  <c r="BQ77" i="10"/>
  <c r="BP77" i="10"/>
  <c r="BO77" i="10"/>
  <c r="BL77" i="10"/>
  <c r="BK77" i="10"/>
  <c r="BJ77" i="10"/>
  <c r="BI77" i="10"/>
  <c r="BH77" i="10"/>
  <c r="BG77" i="10"/>
  <c r="BF77" i="10"/>
  <c r="BE77" i="10"/>
  <c r="BD77" i="10"/>
  <c r="BC77" i="10"/>
  <c r="BB77" i="10"/>
  <c r="AZ77" i="10"/>
  <c r="AW77" i="10"/>
  <c r="AR77" i="10"/>
  <c r="BN77" i="10" s="1"/>
  <c r="AQ77" i="10"/>
  <c r="AE77" i="10"/>
  <c r="AA77" i="10"/>
  <c r="I77" i="10"/>
  <c r="DK76" i="10"/>
  <c r="DJ76" i="10"/>
  <c r="DI76" i="10"/>
  <c r="DH76" i="10"/>
  <c r="DG76" i="10"/>
  <c r="DF76" i="10"/>
  <c r="DE76" i="10"/>
  <c r="DD76" i="10"/>
  <c r="DC76" i="10"/>
  <c r="DB76" i="10"/>
  <c r="DA76" i="10"/>
  <c r="CZ76" i="10"/>
  <c r="CY76" i="10"/>
  <c r="CX76" i="10"/>
  <c r="CW76" i="10"/>
  <c r="CV76" i="10"/>
  <c r="CU76" i="10"/>
  <c r="CT76" i="10"/>
  <c r="CR76" i="10"/>
  <c r="BW76" i="10"/>
  <c r="BU76" i="10" s="1"/>
  <c r="BS76" i="10"/>
  <c r="BR76" i="10"/>
  <c r="BQ76" i="10"/>
  <c r="BP76" i="10"/>
  <c r="BO76" i="10"/>
  <c r="BN76" i="10"/>
  <c r="BM76" i="10"/>
  <c r="BL76" i="10"/>
  <c r="BK76" i="10"/>
  <c r="BJ76" i="10"/>
  <c r="BI76" i="10"/>
  <c r="BH76" i="10"/>
  <c r="BG76" i="10"/>
  <c r="BF76" i="10"/>
  <c r="BE76" i="10"/>
  <c r="BD76" i="10"/>
  <c r="BC76" i="10"/>
  <c r="BB76" i="10"/>
  <c r="AZ76" i="10"/>
  <c r="AE76" i="10"/>
  <c r="AC76" i="10"/>
  <c r="I76" i="10"/>
  <c r="DK75" i="10"/>
  <c r="DJ75" i="10"/>
  <c r="DI75" i="10"/>
  <c r="DH75" i="10"/>
  <c r="DG75" i="10"/>
  <c r="DF75" i="10"/>
  <c r="DE75" i="10"/>
  <c r="DD75" i="10"/>
  <c r="DC75" i="10"/>
  <c r="DB75" i="10"/>
  <c r="DA75" i="10"/>
  <c r="CZ75" i="10"/>
  <c r="CY75" i="10"/>
  <c r="CX75" i="10"/>
  <c r="CW75" i="10"/>
  <c r="CV75" i="10"/>
  <c r="CU75" i="10"/>
  <c r="CT75" i="10"/>
  <c r="CQ75" i="10" s="1"/>
  <c r="CS75" i="10"/>
  <c r="CR75" i="10"/>
  <c r="BU75" i="10"/>
  <c r="BS75" i="10"/>
  <c r="BR75" i="10"/>
  <c r="BQ75" i="10"/>
  <c r="BP75" i="10"/>
  <c r="BO75" i="10"/>
  <c r="BN75" i="10"/>
  <c r="BM75" i="10"/>
  <c r="BL75" i="10"/>
  <c r="BK75" i="10"/>
  <c r="BJ75" i="10"/>
  <c r="BI75" i="10"/>
  <c r="BH75" i="10"/>
  <c r="BG75" i="10"/>
  <c r="BF75" i="10"/>
  <c r="BE75" i="10"/>
  <c r="BD75" i="10"/>
  <c r="BC75" i="10"/>
  <c r="BB75" i="10"/>
  <c r="BA75" i="10"/>
  <c r="AZ75" i="10"/>
  <c r="AY75" i="10" s="1"/>
  <c r="AC75" i="10"/>
  <c r="I75" i="10"/>
  <c r="G75" i="10"/>
  <c r="DM74" i="10"/>
  <c r="DK74" i="10"/>
  <c r="DJ74" i="10"/>
  <c r="DI74" i="10"/>
  <c r="DH74" i="10"/>
  <c r="DG74" i="10"/>
  <c r="DF74" i="10"/>
  <c r="DE74" i="10"/>
  <c r="DD74" i="10"/>
  <c r="DC74" i="10"/>
  <c r="DB74" i="10"/>
  <c r="DA74" i="10"/>
  <c r="CZ74" i="10"/>
  <c r="CY74" i="10"/>
  <c r="CX74" i="10"/>
  <c r="CW74" i="10"/>
  <c r="CV74" i="10"/>
  <c r="CQ74" i="10" s="1"/>
  <c r="DO74" i="10" s="1"/>
  <c r="CU74" i="10"/>
  <c r="CT74" i="10"/>
  <c r="CS74" i="10"/>
  <c r="CR74" i="10"/>
  <c r="BU74" i="10"/>
  <c r="BT74" i="10"/>
  <c r="CP74" i="10" s="1"/>
  <c r="BS74" i="10"/>
  <c r="BR74" i="10"/>
  <c r="BQ74" i="10"/>
  <c r="BP74" i="10"/>
  <c r="BO74" i="10"/>
  <c r="BN74" i="10"/>
  <c r="BM74" i="10"/>
  <c r="BL74" i="10"/>
  <c r="BK74" i="10"/>
  <c r="BJ74" i="10"/>
  <c r="BI74" i="10"/>
  <c r="BH74" i="10"/>
  <c r="BG74" i="10"/>
  <c r="BF74" i="10"/>
  <c r="BE74" i="10"/>
  <c r="BD74" i="10"/>
  <c r="AY74" i="10" s="1"/>
  <c r="BC74" i="10"/>
  <c r="BB74" i="10"/>
  <c r="BA74" i="10"/>
  <c r="AZ74" i="10"/>
  <c r="AC74" i="10"/>
  <c r="AB74" i="10"/>
  <c r="AX74" i="10" s="1"/>
  <c r="G74" i="10"/>
  <c r="DK73" i="10"/>
  <c r="DJ73" i="10"/>
  <c r="DI73" i="10"/>
  <c r="DH73" i="10"/>
  <c r="DG73" i="10"/>
  <c r="DF73" i="10"/>
  <c r="DE73" i="10"/>
  <c r="DD73" i="10"/>
  <c r="DC73" i="10"/>
  <c r="DB73" i="10"/>
  <c r="DA73" i="10"/>
  <c r="CZ73" i="10"/>
  <c r="CY73" i="10"/>
  <c r="CX73" i="10"/>
  <c r="CW73" i="10"/>
  <c r="CV73" i="10"/>
  <c r="CU73" i="10"/>
  <c r="CT73" i="10"/>
  <c r="CS73" i="10"/>
  <c r="CR73" i="10"/>
  <c r="BU73" i="10"/>
  <c r="BS73" i="10"/>
  <c r="BR73" i="10"/>
  <c r="BQ73" i="10"/>
  <c r="BP73" i="10"/>
  <c r="BO73" i="10"/>
  <c r="BN73" i="10"/>
  <c r="BM73" i="10"/>
  <c r="BL73" i="10"/>
  <c r="BK73" i="10"/>
  <c r="BJ73" i="10"/>
  <c r="BI73" i="10"/>
  <c r="BH73" i="10"/>
  <c r="BG73" i="10"/>
  <c r="BF73" i="10"/>
  <c r="BE73" i="10"/>
  <c r="BD73" i="10"/>
  <c r="BC73" i="10"/>
  <c r="BB73" i="10"/>
  <c r="BA73" i="10"/>
  <c r="AZ73" i="10"/>
  <c r="AE73" i="10"/>
  <c r="AC73" i="10" s="1"/>
  <c r="AB73" i="10" s="1"/>
  <c r="AX73" i="10" s="1"/>
  <c r="G73" i="10"/>
  <c r="DM73" i="10" s="1"/>
  <c r="DK72" i="10"/>
  <c r="DJ72" i="10"/>
  <c r="DI72" i="10"/>
  <c r="DH72" i="10"/>
  <c r="DG72" i="10"/>
  <c r="DF72" i="10"/>
  <c r="DD72" i="10"/>
  <c r="DC72" i="10"/>
  <c r="DB72" i="10"/>
  <c r="DA72" i="10"/>
  <c r="CZ72" i="10"/>
  <c r="CY72" i="10"/>
  <c r="CX72" i="10"/>
  <c r="CW72" i="10"/>
  <c r="CV72" i="10"/>
  <c r="CU72" i="10"/>
  <c r="CT72" i="10"/>
  <c r="CS72" i="10"/>
  <c r="CR72" i="10"/>
  <c r="CI72" i="10"/>
  <c r="CI79" i="10" s="1"/>
  <c r="BW72" i="10"/>
  <c r="BS72" i="10"/>
  <c r="BR72" i="10"/>
  <c r="BQ72" i="10"/>
  <c r="BP72" i="10"/>
  <c r="BO72" i="10"/>
  <c r="BN72" i="10"/>
  <c r="BL72" i="10"/>
  <c r="BK72" i="10"/>
  <c r="BJ72" i="10"/>
  <c r="BI72" i="10"/>
  <c r="BH72" i="10"/>
  <c r="BG72" i="10"/>
  <c r="BF72" i="10"/>
  <c r="BE72" i="10"/>
  <c r="BD72" i="10"/>
  <c r="BC72" i="10"/>
  <c r="BB72" i="10"/>
  <c r="BA72" i="10"/>
  <c r="AZ72" i="10"/>
  <c r="AQ72" i="10"/>
  <c r="AE72" i="10"/>
  <c r="AC72" i="10" s="1"/>
  <c r="AB72" i="10"/>
  <c r="AX72" i="10" s="1"/>
  <c r="G72" i="10"/>
  <c r="DM72" i="10" s="1"/>
  <c r="DN71" i="10"/>
  <c r="DK71" i="10"/>
  <c r="CQ71" i="10" s="1"/>
  <c r="DO71" i="10" s="1"/>
  <c r="BU71" i="10"/>
  <c r="BT71" i="10"/>
  <c r="CP71" i="10" s="1"/>
  <c r="BS71" i="10"/>
  <c r="AY71" i="10"/>
  <c r="AC71" i="10"/>
  <c r="AB71" i="10" s="1"/>
  <c r="AX71" i="10" s="1"/>
  <c r="G71" i="10"/>
  <c r="DM71" i="10" s="1"/>
  <c r="DK70" i="10"/>
  <c r="DJ70" i="10"/>
  <c r="DI70" i="10"/>
  <c r="DH70" i="10"/>
  <c r="DG70" i="10"/>
  <c r="DF70" i="10"/>
  <c r="DE70" i="10"/>
  <c r="DD70" i="10"/>
  <c r="DC70" i="10"/>
  <c r="DB70" i="10"/>
  <c r="DA70" i="10"/>
  <c r="CZ70" i="10"/>
  <c r="CY70" i="10"/>
  <c r="CX70" i="10"/>
  <c r="CW70" i="10"/>
  <c r="CV70" i="10"/>
  <c r="CU70" i="10"/>
  <c r="CT70" i="10"/>
  <c r="CR70" i="10"/>
  <c r="BW70" i="10"/>
  <c r="BU70" i="10" s="1"/>
  <c r="BS70" i="10"/>
  <c r="BR70" i="10"/>
  <c r="BQ70" i="10"/>
  <c r="BP70" i="10"/>
  <c r="BO70" i="10"/>
  <c r="BN70" i="10"/>
  <c r="BM70" i="10"/>
  <c r="BL70" i="10"/>
  <c r="BK70" i="10"/>
  <c r="BJ70" i="10"/>
  <c r="BI70" i="10"/>
  <c r="BH70" i="10"/>
  <c r="BG70" i="10"/>
  <c r="BF70" i="10"/>
  <c r="BE70" i="10"/>
  <c r="BD70" i="10"/>
  <c r="BC70" i="10"/>
  <c r="BB70" i="10"/>
  <c r="AZ70" i="10"/>
  <c r="AE70" i="10"/>
  <c r="BA70" i="10" s="1"/>
  <c r="AC70" i="10"/>
  <c r="G70" i="10"/>
  <c r="DM70" i="10" s="1"/>
  <c r="DM69" i="10"/>
  <c r="DK69" i="10"/>
  <c r="DJ69" i="10"/>
  <c r="DI69" i="10"/>
  <c r="DH69" i="10"/>
  <c r="DG69" i="10"/>
  <c r="DF69" i="10"/>
  <c r="DE69" i="10"/>
  <c r="DD69" i="10"/>
  <c r="DC69" i="10"/>
  <c r="DB69" i="10"/>
  <c r="DA69" i="10"/>
  <c r="CZ69" i="10"/>
  <c r="CY69" i="10"/>
  <c r="CX69" i="10"/>
  <c r="CW69" i="10"/>
  <c r="CV69" i="10"/>
  <c r="CU69" i="10"/>
  <c r="CT69" i="10"/>
  <c r="CS69" i="10"/>
  <c r="CR69" i="10"/>
  <c r="BW69" i="10"/>
  <c r="BU69" i="10"/>
  <c r="BT69" i="10" s="1"/>
  <c r="CP69" i="10" s="1"/>
  <c r="BS69" i="10"/>
  <c r="BR69" i="10"/>
  <c r="BQ69" i="10"/>
  <c r="BP69" i="10"/>
  <c r="BO69" i="10"/>
  <c r="BN69" i="10"/>
  <c r="BM69" i="10"/>
  <c r="BL69" i="10"/>
  <c r="BK69" i="10"/>
  <c r="BJ69" i="10"/>
  <c r="BI69" i="10"/>
  <c r="BH69" i="10"/>
  <c r="BG69" i="10"/>
  <c r="BF69" i="10"/>
  <c r="BE69" i="10"/>
  <c r="BD69" i="10"/>
  <c r="BC69" i="10"/>
  <c r="BB69" i="10"/>
  <c r="AZ69" i="10"/>
  <c r="AE69" i="10"/>
  <c r="G69" i="10"/>
  <c r="DK68" i="10"/>
  <c r="DJ68" i="10"/>
  <c r="DI68" i="10"/>
  <c r="DH68" i="10"/>
  <c r="DG68" i="10"/>
  <c r="DF68" i="10"/>
  <c r="DE68" i="10"/>
  <c r="DD68" i="10"/>
  <c r="DC68" i="10"/>
  <c r="DB68" i="10"/>
  <c r="DA68" i="10"/>
  <c r="CZ68" i="10"/>
  <c r="CY68" i="10"/>
  <c r="CX68" i="10"/>
  <c r="CW68" i="10"/>
  <c r="CV68" i="10"/>
  <c r="CU68" i="10"/>
  <c r="CT68" i="10"/>
  <c r="CR68" i="10"/>
  <c r="BW68" i="10"/>
  <c r="BS68" i="10"/>
  <c r="BR68" i="10"/>
  <c r="BQ68" i="10"/>
  <c r="BP68" i="10"/>
  <c r="BO68" i="10"/>
  <c r="BN68" i="10"/>
  <c r="BM68" i="10"/>
  <c r="BL68" i="10"/>
  <c r="BK68" i="10"/>
  <c r="BJ68" i="10"/>
  <c r="BI68" i="10"/>
  <c r="BH68" i="10"/>
  <c r="BG68" i="10"/>
  <c r="BF68" i="10"/>
  <c r="BE68" i="10"/>
  <c r="BD68" i="10"/>
  <c r="BC68" i="10"/>
  <c r="BB68" i="10"/>
  <c r="BA68" i="10"/>
  <c r="AZ68" i="10"/>
  <c r="AE68" i="10"/>
  <c r="AC68" i="10" s="1"/>
  <c r="AB68" i="10"/>
  <c r="AX68" i="10" s="1"/>
  <c r="G68" i="10"/>
  <c r="DM68" i="10" s="1"/>
  <c r="DJ67" i="10"/>
  <c r="DI67" i="10"/>
  <c r="DH67" i="10"/>
  <c r="DG67" i="10"/>
  <c r="DF67" i="10"/>
  <c r="DE67" i="10"/>
  <c r="DD67" i="10"/>
  <c r="DC67" i="10"/>
  <c r="DB67" i="10"/>
  <c r="DA67" i="10"/>
  <c r="CZ67" i="10"/>
  <c r="CY67" i="10"/>
  <c r="CX67" i="10"/>
  <c r="CW67" i="10"/>
  <c r="CV67" i="10"/>
  <c r="CU67" i="10"/>
  <c r="CT67" i="10"/>
  <c r="CS67" i="10"/>
  <c r="CR67" i="10"/>
  <c r="CJ67" i="10"/>
  <c r="BR67" i="10"/>
  <c r="BQ67" i="10"/>
  <c r="BP67" i="10"/>
  <c r="BO67" i="10"/>
  <c r="BM67" i="10"/>
  <c r="BL67" i="10"/>
  <c r="BK67" i="10"/>
  <c r="BJ67" i="10"/>
  <c r="BI67" i="10"/>
  <c r="BH67" i="10"/>
  <c r="BG67" i="10"/>
  <c r="BF67" i="10"/>
  <c r="BE67" i="10"/>
  <c r="BD67" i="10"/>
  <c r="BC67" i="10"/>
  <c r="BB67" i="10"/>
  <c r="BA67" i="10"/>
  <c r="AZ67" i="10"/>
  <c r="AW67" i="10"/>
  <c r="AR67" i="10"/>
  <c r="AA67" i="10"/>
  <c r="G67" i="10"/>
  <c r="DM67" i="10" s="1"/>
  <c r="DK66" i="10"/>
  <c r="DJ66" i="10"/>
  <c r="DI66" i="10"/>
  <c r="DH66" i="10"/>
  <c r="DG66" i="10"/>
  <c r="DF66" i="10"/>
  <c r="DE66" i="10"/>
  <c r="DD66" i="10"/>
  <c r="DC66" i="10"/>
  <c r="DB66" i="10"/>
  <c r="DA66" i="10"/>
  <c r="CZ66" i="10"/>
  <c r="CY66" i="10"/>
  <c r="CX66" i="10"/>
  <c r="CW66" i="10"/>
  <c r="CV66" i="10"/>
  <c r="CU66" i="10"/>
  <c r="CT66" i="10"/>
  <c r="CR66" i="10"/>
  <c r="BW66" i="10"/>
  <c r="CS66" i="10" s="1"/>
  <c r="BU66" i="10"/>
  <c r="BS66" i="10"/>
  <c r="BR66" i="10"/>
  <c r="BQ66" i="10"/>
  <c r="BP66" i="10"/>
  <c r="BO66" i="10"/>
  <c r="BN66" i="10"/>
  <c r="BM66" i="10"/>
  <c r="BL66" i="10"/>
  <c r="BK66" i="10"/>
  <c r="BJ66" i="10"/>
  <c r="BI66" i="10"/>
  <c r="BH66" i="10"/>
  <c r="BG66" i="10"/>
  <c r="BF66" i="10"/>
  <c r="BE66" i="10"/>
  <c r="BD66" i="10"/>
  <c r="BC66" i="10"/>
  <c r="BB66" i="10"/>
  <c r="BA66" i="10"/>
  <c r="AZ66" i="10"/>
  <c r="AE66" i="10"/>
  <c r="AC66" i="10" s="1"/>
  <c r="G66" i="10"/>
  <c r="DM66" i="10" s="1"/>
  <c r="DJ65" i="10"/>
  <c r="DI65" i="10"/>
  <c r="DH65" i="10"/>
  <c r="DG65" i="10"/>
  <c r="DE65" i="10"/>
  <c r="DD65" i="10"/>
  <c r="DC65" i="10"/>
  <c r="DB65" i="10"/>
  <c r="DA65" i="10"/>
  <c r="CZ65" i="10"/>
  <c r="CY65" i="10"/>
  <c r="CX65" i="10"/>
  <c r="CW65" i="10"/>
  <c r="CV65" i="10"/>
  <c r="CU65" i="10"/>
  <c r="CT65" i="10"/>
  <c r="CS65" i="10"/>
  <c r="CR65" i="10"/>
  <c r="CO65" i="10"/>
  <c r="CJ65" i="10"/>
  <c r="DF65" i="10" s="1"/>
  <c r="BR65" i="10"/>
  <c r="BQ65" i="10"/>
  <c r="BP65" i="10"/>
  <c r="BO65" i="10"/>
  <c r="BM65" i="10"/>
  <c r="BL65" i="10"/>
  <c r="BK65" i="10"/>
  <c r="BJ65" i="10"/>
  <c r="BI65" i="10"/>
  <c r="BH65" i="10"/>
  <c r="BG65" i="10"/>
  <c r="BF65" i="10"/>
  <c r="BE65" i="10"/>
  <c r="BD65" i="10"/>
  <c r="BC65" i="10"/>
  <c r="BB65" i="10"/>
  <c r="BA65" i="10"/>
  <c r="AZ65" i="10"/>
  <c r="AW65" i="10"/>
  <c r="AR65" i="10"/>
  <c r="AC65" i="10" s="1"/>
  <c r="AA65" i="10"/>
  <c r="DJ64" i="10"/>
  <c r="DI64" i="10"/>
  <c r="DH64" i="10"/>
  <c r="DG64" i="10"/>
  <c r="DE64" i="10"/>
  <c r="DD64" i="10"/>
  <c r="DC64" i="10"/>
  <c r="DB64" i="10"/>
  <c r="DA64" i="10"/>
  <c r="CZ64" i="10"/>
  <c r="CY64" i="10"/>
  <c r="CX64" i="10"/>
  <c r="CW64" i="10"/>
  <c r="CW79" i="10" s="1"/>
  <c r="CV64" i="10"/>
  <c r="CU64" i="10"/>
  <c r="CT64" i="10"/>
  <c r="CS64" i="10"/>
  <c r="CR64" i="10"/>
  <c r="CO64" i="10"/>
  <c r="CJ64" i="10"/>
  <c r="DF64" i="10" s="1"/>
  <c r="BU64" i="10"/>
  <c r="BT64" i="10" s="1"/>
  <c r="CP64" i="10" s="1"/>
  <c r="BR64" i="10"/>
  <c r="BQ64" i="10"/>
  <c r="BP64" i="10"/>
  <c r="BO64" i="10"/>
  <c r="BM64" i="10"/>
  <c r="BL64" i="10"/>
  <c r="BK64" i="10"/>
  <c r="BJ64" i="10"/>
  <c r="BI64" i="10"/>
  <c r="BH64" i="10"/>
  <c r="BG64" i="10"/>
  <c r="BF64" i="10"/>
  <c r="BE64" i="10"/>
  <c r="BD64" i="10"/>
  <c r="BC64" i="10"/>
  <c r="BB64" i="10"/>
  <c r="BA64" i="10"/>
  <c r="AZ64" i="10"/>
  <c r="AW64" i="10"/>
  <c r="AR64" i="10"/>
  <c r="AA64" i="10"/>
  <c r="V64" i="10"/>
  <c r="G64" i="10"/>
  <c r="DJ63" i="10"/>
  <c r="DI63" i="10"/>
  <c r="DH63" i="10"/>
  <c r="DG63" i="10"/>
  <c r="DF63" i="10"/>
  <c r="DE63" i="10"/>
  <c r="DD63" i="10"/>
  <c r="DB63" i="10"/>
  <c r="DA63" i="10"/>
  <c r="CZ63" i="10"/>
  <c r="CY63" i="10"/>
  <c r="CX63" i="10"/>
  <c r="CW63" i="10"/>
  <c r="CV63" i="10"/>
  <c r="CU63" i="10"/>
  <c r="CT63" i="10"/>
  <c r="CS63" i="10"/>
  <c r="CR63" i="10"/>
  <c r="CG63" i="10"/>
  <c r="BS63" i="10"/>
  <c r="BR63" i="10"/>
  <c r="BQ63" i="10"/>
  <c r="BP63" i="10"/>
  <c r="BO63" i="10"/>
  <c r="BN63" i="10"/>
  <c r="BM63" i="10"/>
  <c r="BL63" i="10"/>
  <c r="BJ63" i="10"/>
  <c r="BI63" i="10"/>
  <c r="BH63" i="10"/>
  <c r="BG63" i="10"/>
  <c r="BF63" i="10"/>
  <c r="BE63" i="10"/>
  <c r="BD63" i="10"/>
  <c r="BC63" i="10"/>
  <c r="BB63" i="10"/>
  <c r="BA63" i="10"/>
  <c r="AZ63" i="10"/>
  <c r="AO63" i="10"/>
  <c r="AA63" i="10"/>
  <c r="DK63" i="10" s="1"/>
  <c r="S63" i="10"/>
  <c r="DK62" i="10"/>
  <c r="DJ62" i="10"/>
  <c r="DI62" i="10"/>
  <c r="DH62" i="10"/>
  <c r="DG62" i="10"/>
  <c r="DE62" i="10"/>
  <c r="DD62" i="10"/>
  <c r="DC62" i="10"/>
  <c r="DB62" i="10"/>
  <c r="DA62" i="10"/>
  <c r="CZ62" i="10"/>
  <c r="CY62" i="10"/>
  <c r="CX62" i="10"/>
  <c r="CW62" i="10"/>
  <c r="CV62" i="10"/>
  <c r="CU62" i="10"/>
  <c r="CT62" i="10"/>
  <c r="CS62" i="10"/>
  <c r="CR62" i="10"/>
  <c r="CJ62" i="10"/>
  <c r="BU62" i="10" s="1"/>
  <c r="BS62" i="10"/>
  <c r="BR62" i="10"/>
  <c r="BQ62" i="10"/>
  <c r="BP62" i="10"/>
  <c r="BO62" i="10"/>
  <c r="BM62" i="10"/>
  <c r="BL62" i="10"/>
  <c r="BK62" i="10"/>
  <c r="BJ62" i="10"/>
  <c r="BI62" i="10"/>
  <c r="BH62" i="10"/>
  <c r="BG62" i="10"/>
  <c r="BF62" i="10"/>
  <c r="BE62" i="10"/>
  <c r="BD62" i="10"/>
  <c r="BC62" i="10"/>
  <c r="BB62" i="10"/>
  <c r="BA62" i="10"/>
  <c r="AZ62" i="10"/>
  <c r="AR62" i="10"/>
  <c r="AC62" i="10" s="1"/>
  <c r="V62" i="10"/>
  <c r="BN62" i="10" s="1"/>
  <c r="G62" i="10"/>
  <c r="DM62" i="10" s="1"/>
  <c r="DK61" i="10"/>
  <c r="DJ61" i="10"/>
  <c r="DI61" i="10"/>
  <c r="DH61" i="10"/>
  <c r="DG61" i="10"/>
  <c r="DF61" i="10"/>
  <c r="DE61" i="10"/>
  <c r="DD61" i="10"/>
  <c r="DC61" i="10"/>
  <c r="DB61" i="10"/>
  <c r="DA61" i="10"/>
  <c r="CZ61" i="10"/>
  <c r="CY61" i="10"/>
  <c r="CX61" i="10"/>
  <c r="CW61" i="10"/>
  <c r="CV61" i="10"/>
  <c r="CU61" i="10"/>
  <c r="CT61" i="10"/>
  <c r="CR61" i="10"/>
  <c r="BW61" i="10"/>
  <c r="CJ61" i="10" s="1"/>
  <c r="BU61" i="10"/>
  <c r="BR61" i="10"/>
  <c r="BQ61" i="10"/>
  <c r="BP61" i="10"/>
  <c r="BO61" i="10"/>
  <c r="BM61" i="10"/>
  <c r="BL61" i="10"/>
  <c r="BK61" i="10"/>
  <c r="BJ61" i="10"/>
  <c r="BI61" i="10"/>
  <c r="BH61" i="10"/>
  <c r="BH79" i="10" s="1"/>
  <c r="BG61" i="10"/>
  <c r="BF61" i="10"/>
  <c r="BE61" i="10"/>
  <c r="BD61" i="10"/>
  <c r="BC61" i="10"/>
  <c r="BB61" i="10"/>
  <c r="AZ61" i="10"/>
  <c r="AR61" i="10"/>
  <c r="AE61" i="10"/>
  <c r="BA61" i="10" s="1"/>
  <c r="AA61" i="10"/>
  <c r="BS61" i="10" s="1"/>
  <c r="V61" i="10"/>
  <c r="DJ60" i="10"/>
  <c r="DI60" i="10"/>
  <c r="DH60" i="10"/>
  <c r="DG60" i="10"/>
  <c r="DF60" i="10"/>
  <c r="DE60" i="10"/>
  <c r="DD60" i="10"/>
  <c r="DC60" i="10"/>
  <c r="DB60" i="10"/>
  <c r="DA60" i="10"/>
  <c r="CZ60" i="10"/>
  <c r="CY60" i="10"/>
  <c r="CX60" i="10"/>
  <c r="CW60" i="10"/>
  <c r="CV60" i="10"/>
  <c r="CU60" i="10"/>
  <c r="CT60" i="10"/>
  <c r="CS60" i="10"/>
  <c r="CR60" i="10"/>
  <c r="CO60" i="10"/>
  <c r="BU60" i="10" s="1"/>
  <c r="BR60" i="10"/>
  <c r="BQ60" i="10"/>
  <c r="BP60" i="10"/>
  <c r="BO60" i="10"/>
  <c r="BN60" i="10"/>
  <c r="BM60" i="10"/>
  <c r="BL60" i="10"/>
  <c r="BK60" i="10"/>
  <c r="BJ60" i="10"/>
  <c r="BI60" i="10"/>
  <c r="BH60" i="10"/>
  <c r="BG60" i="10"/>
  <c r="BF60" i="10"/>
  <c r="BE60" i="10"/>
  <c r="BD60" i="10"/>
  <c r="BC60" i="10"/>
  <c r="BB60" i="10"/>
  <c r="BA60" i="10"/>
  <c r="AZ60" i="10"/>
  <c r="AW60" i="10"/>
  <c r="AC60" i="10"/>
  <c r="AA60" i="10"/>
  <c r="DM59" i="10"/>
  <c r="DJ59" i="10"/>
  <c r="DI59" i="10"/>
  <c r="DH59" i="10"/>
  <c r="DG59" i="10"/>
  <c r="DF59" i="10"/>
  <c r="DE59" i="10"/>
  <c r="DD59" i="10"/>
  <c r="DC59" i="10"/>
  <c r="DB59" i="10"/>
  <c r="DA59" i="10"/>
  <c r="CZ59" i="10"/>
  <c r="CY59" i="10"/>
  <c r="CX59" i="10"/>
  <c r="CW59" i="10"/>
  <c r="CV59" i="10"/>
  <c r="CU59" i="10"/>
  <c r="CU79" i="10" s="1"/>
  <c r="CT59" i="10"/>
  <c r="CS59" i="10"/>
  <c r="CR59" i="10"/>
  <c r="BU59" i="10"/>
  <c r="BR59" i="10"/>
  <c r="BQ59" i="10"/>
  <c r="BP59" i="10"/>
  <c r="BO59" i="10"/>
  <c r="BN59" i="10"/>
  <c r="BM59" i="10"/>
  <c r="BL59" i="10"/>
  <c r="BK59" i="10"/>
  <c r="BJ59" i="10"/>
  <c r="BI59" i="10"/>
  <c r="BH59" i="10"/>
  <c r="BG59" i="10"/>
  <c r="BF59" i="10"/>
  <c r="BE59" i="10"/>
  <c r="BD59" i="10"/>
  <c r="BC59" i="10"/>
  <c r="BB59" i="10"/>
  <c r="BA59" i="10"/>
  <c r="AZ59" i="10"/>
  <c r="AC59" i="10"/>
  <c r="AA59" i="10"/>
  <c r="DK59" i="10" s="1"/>
  <c r="G59" i="10"/>
  <c r="DJ58" i="10"/>
  <c r="DI58" i="10"/>
  <c r="DH58" i="10"/>
  <c r="DG58" i="10"/>
  <c r="DF58" i="10"/>
  <c r="DE58" i="10"/>
  <c r="DD58" i="10"/>
  <c r="DC58" i="10"/>
  <c r="DB58" i="10"/>
  <c r="DA58" i="10"/>
  <c r="CZ58" i="10"/>
  <c r="CY58" i="10"/>
  <c r="CX58" i="10"/>
  <c r="CW58" i="10"/>
  <c r="CV58" i="10"/>
  <c r="CU58" i="10"/>
  <c r="CT58" i="10"/>
  <c r="CR58" i="10"/>
  <c r="BW58" i="10"/>
  <c r="CS58" i="10" s="1"/>
  <c r="BR58" i="10"/>
  <c r="BQ58" i="10"/>
  <c r="BP58" i="10"/>
  <c r="BO58" i="10"/>
  <c r="BN58" i="10"/>
  <c r="BM58" i="10"/>
  <c r="BL58" i="10"/>
  <c r="BK58" i="10"/>
  <c r="BJ58" i="10"/>
  <c r="BI58" i="10"/>
  <c r="BH58" i="10"/>
  <c r="BG58" i="10"/>
  <c r="BF58" i="10"/>
  <c r="BE58" i="10"/>
  <c r="BD58" i="10"/>
  <c r="BC58" i="10"/>
  <c r="BB58" i="10"/>
  <c r="AZ58" i="10"/>
  <c r="AW58" i="10"/>
  <c r="AE58" i="10"/>
  <c r="AA58" i="10"/>
  <c r="G58" i="10"/>
  <c r="CN57" i="10"/>
  <c r="CM57" i="10"/>
  <c r="CK57" i="10"/>
  <c r="CI57" i="10"/>
  <c r="CH57" i="10"/>
  <c r="CG57" i="10"/>
  <c r="CF57" i="10"/>
  <c r="CE57" i="10"/>
  <c r="CD57" i="10"/>
  <c r="CC57" i="10"/>
  <c r="CB57" i="10"/>
  <c r="CA57" i="10"/>
  <c r="BZ57" i="10"/>
  <c r="BV57" i="10"/>
  <c r="AV57" i="10"/>
  <c r="AU57" i="10"/>
  <c r="AS57" i="10"/>
  <c r="AQ57" i="10"/>
  <c r="AP57" i="10"/>
  <c r="AO57" i="10"/>
  <c r="AN57" i="10"/>
  <c r="AM57" i="10"/>
  <c r="AL57" i="10"/>
  <c r="AK57" i="10"/>
  <c r="AJ57" i="10"/>
  <c r="AI57" i="10"/>
  <c r="AH57" i="10"/>
  <c r="AG57" i="10"/>
  <c r="AD57" i="10"/>
  <c r="Z57" i="10"/>
  <c r="Y57" i="10"/>
  <c r="X57" i="10"/>
  <c r="X116" i="10" s="1"/>
  <c r="X128" i="10" s="1"/>
  <c r="W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H57" i="10"/>
  <c r="DJ56" i="10"/>
  <c r="DI56" i="10"/>
  <c r="DH56" i="10"/>
  <c r="DG56" i="10"/>
  <c r="DF56" i="10"/>
  <c r="DE56" i="10"/>
  <c r="DD56" i="10"/>
  <c r="DC56" i="10"/>
  <c r="DB56" i="10"/>
  <c r="DA56" i="10"/>
  <c r="CZ56" i="10"/>
  <c r="CY56" i="10"/>
  <c r="CX56" i="10"/>
  <c r="CW56" i="10"/>
  <c r="CV56" i="10"/>
  <c r="CU56" i="10"/>
  <c r="CT56" i="10"/>
  <c r="CS56" i="10"/>
  <c r="CR56" i="10"/>
  <c r="CO56" i="10"/>
  <c r="BU56" i="10" s="1"/>
  <c r="BS56" i="10"/>
  <c r="BR56" i="10"/>
  <c r="BQ56" i="10"/>
  <c r="BP56" i="10"/>
  <c r="BO56" i="10"/>
  <c r="BN56" i="10"/>
  <c r="BM56" i="10"/>
  <c r="BL56" i="10"/>
  <c r="BK56" i="10"/>
  <c r="BJ56" i="10"/>
  <c r="BI56" i="10"/>
  <c r="BH56" i="10"/>
  <c r="BG56" i="10"/>
  <c r="BF56" i="10"/>
  <c r="BE56" i="10"/>
  <c r="BD56" i="10"/>
  <c r="BC56" i="10"/>
  <c r="BB56" i="10"/>
  <c r="BA56" i="10"/>
  <c r="AZ56" i="10"/>
  <c r="AW56" i="10"/>
  <c r="AC56" i="10"/>
  <c r="AA56" i="10"/>
  <c r="G56" i="10"/>
  <c r="DM56" i="10" s="1"/>
  <c r="DM55" i="10"/>
  <c r="DK55" i="10"/>
  <c r="DJ55" i="10"/>
  <c r="DI55" i="10"/>
  <c r="DH55" i="10"/>
  <c r="DG55" i="10"/>
  <c r="DF55" i="10"/>
  <c r="DE55" i="10"/>
  <c r="DD55" i="10"/>
  <c r="DC55" i="10"/>
  <c r="DB55" i="10"/>
  <c r="DA55" i="10"/>
  <c r="CZ55" i="10"/>
  <c r="CY55" i="10"/>
  <c r="CX55" i="10"/>
  <c r="CW55" i="10"/>
  <c r="CV55" i="10"/>
  <c r="CT55" i="10"/>
  <c r="CR55" i="10"/>
  <c r="BW55" i="10"/>
  <c r="BS55" i="10"/>
  <c r="BR55" i="10"/>
  <c r="BQ55" i="10"/>
  <c r="BP55" i="10"/>
  <c r="BO55" i="10"/>
  <c r="BN55" i="10"/>
  <c r="BM55" i="10"/>
  <c r="BL55" i="10"/>
  <c r="BK55" i="10"/>
  <c r="BJ55" i="10"/>
  <c r="BI55" i="10"/>
  <c r="BH55" i="10"/>
  <c r="BG55" i="10"/>
  <c r="BF55" i="10"/>
  <c r="BE55" i="10"/>
  <c r="BD55" i="10"/>
  <c r="BB55" i="10"/>
  <c r="AZ55" i="10"/>
  <c r="AG55" i="10"/>
  <c r="AG121" i="10" s="1"/>
  <c r="AE55" i="10"/>
  <c r="BA55" i="10" s="1"/>
  <c r="AC55" i="10"/>
  <c r="K55" i="10"/>
  <c r="I55" i="10"/>
  <c r="CS55" i="10" s="1"/>
  <c r="G55" i="10"/>
  <c r="DK54" i="10"/>
  <c r="DJ54" i="10"/>
  <c r="DI54" i="10"/>
  <c r="DH54" i="10"/>
  <c r="DG54" i="10"/>
  <c r="DF54" i="10"/>
  <c r="DE54" i="10"/>
  <c r="DD54" i="10"/>
  <c r="DC54" i="10"/>
  <c r="DB54" i="10"/>
  <c r="DA54" i="10"/>
  <c r="CZ54" i="10"/>
  <c r="CY54" i="10"/>
  <c r="CX54" i="10"/>
  <c r="CW54" i="10"/>
  <c r="CV54" i="10"/>
  <c r="CU54" i="10"/>
  <c r="CT54" i="10"/>
  <c r="CR54" i="10"/>
  <c r="BW54" i="10"/>
  <c r="BU54" i="10"/>
  <c r="BS54" i="10"/>
  <c r="BR54" i="10"/>
  <c r="BQ54" i="10"/>
  <c r="BP54" i="10"/>
  <c r="BO54" i="10"/>
  <c r="BN54" i="10"/>
  <c r="BM54" i="10"/>
  <c r="BL54" i="10"/>
  <c r="BK54" i="10"/>
  <c r="BJ54" i="10"/>
  <c r="BI54" i="10"/>
  <c r="BH54" i="10"/>
  <c r="BG54" i="10"/>
  <c r="BF54" i="10"/>
  <c r="BE54" i="10"/>
  <c r="BD54" i="10"/>
  <c r="BC54" i="10"/>
  <c r="BB54" i="10"/>
  <c r="AZ54" i="10"/>
  <c r="AE54" i="10"/>
  <c r="AC54" i="10"/>
  <c r="I54" i="10"/>
  <c r="DK53" i="10"/>
  <c r="DJ53" i="10"/>
  <c r="DI53" i="10"/>
  <c r="DH53" i="10"/>
  <c r="DG53" i="10"/>
  <c r="DF53" i="10"/>
  <c r="DE53" i="10"/>
  <c r="DD53" i="10"/>
  <c r="DC53" i="10"/>
  <c r="DB53" i="10"/>
  <c r="DA53" i="10"/>
  <c r="CZ53" i="10"/>
  <c r="CY53" i="10"/>
  <c r="CX53" i="10"/>
  <c r="CW53" i="10"/>
  <c r="CV53" i="10"/>
  <c r="CU53" i="10"/>
  <c r="CT53" i="10"/>
  <c r="CS53" i="10"/>
  <c r="CR53" i="10"/>
  <c r="CQ53" i="10" s="1"/>
  <c r="BU53" i="10"/>
  <c r="BS53" i="10"/>
  <c r="BR53" i="10"/>
  <c r="BQ53" i="10"/>
  <c r="BP53" i="10"/>
  <c r="BO53" i="10"/>
  <c r="BN53" i="10"/>
  <c r="BM53" i="10"/>
  <c r="BL53" i="10"/>
  <c r="BK53" i="10"/>
  <c r="BJ53" i="10"/>
  <c r="BI53" i="10"/>
  <c r="BH53" i="10"/>
  <c r="BG53" i="10"/>
  <c r="BF53" i="10"/>
  <c r="BE53" i="10"/>
  <c r="BD53" i="10"/>
  <c r="BB53" i="10"/>
  <c r="BA53" i="10"/>
  <c r="AZ53" i="10"/>
  <c r="AF53" i="10"/>
  <c r="AC53" i="10" s="1"/>
  <c r="K53" i="10"/>
  <c r="G53" i="10" s="1"/>
  <c r="DM53" i="10" s="1"/>
  <c r="DM52" i="10"/>
  <c r="DK52" i="10"/>
  <c r="DJ52" i="10"/>
  <c r="DI52" i="10"/>
  <c r="DH52" i="10"/>
  <c r="DG52" i="10"/>
  <c r="DF52" i="10"/>
  <c r="DE52" i="10"/>
  <c r="DD52" i="10"/>
  <c r="DC52" i="10"/>
  <c r="DB52" i="10"/>
  <c r="DA52" i="10"/>
  <c r="CZ52" i="10"/>
  <c r="CY52" i="10"/>
  <c r="CX52" i="10"/>
  <c r="CW52" i="10"/>
  <c r="CV52" i="10"/>
  <c r="CU52" i="10"/>
  <c r="CS52" i="10"/>
  <c r="CR52" i="10"/>
  <c r="BX52" i="10"/>
  <c r="CT52" i="10" s="1"/>
  <c r="BU52" i="10"/>
  <c r="BT52" i="10"/>
  <c r="CP52" i="10" s="1"/>
  <c r="BS52" i="10"/>
  <c r="BR52" i="10"/>
  <c r="BQ52" i="10"/>
  <c r="BP52" i="10"/>
  <c r="BO52" i="10"/>
  <c r="BN52" i="10"/>
  <c r="BM52" i="10"/>
  <c r="BL52" i="10"/>
  <c r="BK52" i="10"/>
  <c r="BJ52" i="10"/>
  <c r="BI52" i="10"/>
  <c r="BH52" i="10"/>
  <c r="BG52" i="10"/>
  <c r="BF52" i="10"/>
  <c r="BE52" i="10"/>
  <c r="BD52" i="10"/>
  <c r="AY52" i="10" s="1"/>
  <c r="BC52" i="10"/>
  <c r="BA52" i="10"/>
  <c r="AZ52" i="10"/>
  <c r="AF52" i="10"/>
  <c r="BB52" i="10" s="1"/>
  <c r="G52" i="10"/>
  <c r="DM51" i="10"/>
  <c r="DK51" i="10"/>
  <c r="DJ51" i="10"/>
  <c r="DI51" i="10"/>
  <c r="DH51" i="10"/>
  <c r="DG51" i="10"/>
  <c r="DF51" i="10"/>
  <c r="DE51" i="10"/>
  <c r="DD51" i="10"/>
  <c r="DC51" i="10"/>
  <c r="DB51" i="10"/>
  <c r="DA51" i="10"/>
  <c r="CZ51" i="10"/>
  <c r="CY51" i="10"/>
  <c r="CX51" i="10"/>
  <c r="CW51" i="10"/>
  <c r="CV51" i="10"/>
  <c r="CU51" i="10"/>
  <c r="CT51" i="10"/>
  <c r="CS51" i="10"/>
  <c r="CR51" i="10"/>
  <c r="CO51" i="10"/>
  <c r="BU51" i="10" s="1"/>
  <c r="BT51" i="10" s="1"/>
  <c r="CP51" i="10" s="1"/>
  <c r="BR51" i="10"/>
  <c r="BQ51" i="10"/>
  <c r="BP51" i="10"/>
  <c r="BO51" i="10"/>
  <c r="BN51" i="10"/>
  <c r="BM51" i="10"/>
  <c r="BL51" i="10"/>
  <c r="BK51" i="10"/>
  <c r="BJ51" i="10"/>
  <c r="BI51" i="10"/>
  <c r="BH51" i="10"/>
  <c r="BG51" i="10"/>
  <c r="BF51" i="10"/>
  <c r="BE51" i="10"/>
  <c r="BD51" i="10"/>
  <c r="BC51" i="10"/>
  <c r="BB51" i="10"/>
  <c r="BA51" i="10"/>
  <c r="AZ51" i="10"/>
  <c r="AW51" i="10"/>
  <c r="G51" i="10"/>
  <c r="DM50" i="10"/>
  <c r="DJ50" i="10"/>
  <c r="DI50" i="10"/>
  <c r="DH50" i="10"/>
  <c r="DG50" i="10"/>
  <c r="DF50" i="10"/>
  <c r="DE50" i="10"/>
  <c r="DD50" i="10"/>
  <c r="DC50" i="10"/>
  <c r="DB50" i="10"/>
  <c r="DA50" i="10"/>
  <c r="CZ50" i="10"/>
  <c r="CY50" i="10"/>
  <c r="CX50" i="10"/>
  <c r="CW50" i="10"/>
  <c r="CV50" i="10"/>
  <c r="CU50" i="10"/>
  <c r="CS50" i="10"/>
  <c r="CR50" i="10"/>
  <c r="BX50" i="10"/>
  <c r="CT50" i="10" s="1"/>
  <c r="BU50" i="10"/>
  <c r="BS50" i="10"/>
  <c r="BR50" i="10"/>
  <c r="BQ50" i="10"/>
  <c r="BP50" i="10"/>
  <c r="BO50" i="10"/>
  <c r="BN50" i="10"/>
  <c r="BM50" i="10"/>
  <c r="BL50" i="10"/>
  <c r="BK50" i="10"/>
  <c r="BJ50" i="10"/>
  <c r="BI50" i="10"/>
  <c r="BH50" i="10"/>
  <c r="BG50" i="10"/>
  <c r="BF50" i="10"/>
  <c r="BE50" i="10"/>
  <c r="BD50" i="10"/>
  <c r="BC50" i="10"/>
  <c r="BA50" i="10"/>
  <c r="AZ50" i="10"/>
  <c r="AF50" i="10"/>
  <c r="BB50" i="10" s="1"/>
  <c r="AC50" i="10"/>
  <c r="AB50" i="10"/>
  <c r="AX50" i="10" s="1"/>
  <c r="AA50" i="10"/>
  <c r="DK50" i="10" s="1"/>
  <c r="G50" i="10"/>
  <c r="BT50" i="10" s="1"/>
  <c r="CP50" i="10" s="1"/>
  <c r="DM49" i="10"/>
  <c r="DK49" i="10"/>
  <c r="DJ49" i="10"/>
  <c r="DI49" i="10"/>
  <c r="DH49" i="10"/>
  <c r="DG49" i="10"/>
  <c r="DE49" i="10"/>
  <c r="DD49" i="10"/>
  <c r="DC49" i="10"/>
  <c r="DB49" i="10"/>
  <c r="DA49" i="10"/>
  <c r="CZ49" i="10"/>
  <c r="CY49" i="10"/>
  <c r="CX49" i="10"/>
  <c r="CW49" i="10"/>
  <c r="CV49" i="10"/>
  <c r="CU49" i="10"/>
  <c r="CT49" i="10"/>
  <c r="CR49" i="10"/>
  <c r="BW49" i="10"/>
  <c r="BS49" i="10"/>
  <c r="BR49" i="10"/>
  <c r="BQ49" i="10"/>
  <c r="BP49" i="10"/>
  <c r="BO49" i="10"/>
  <c r="BM49" i="10"/>
  <c r="BL49" i="10"/>
  <c r="BK49" i="10"/>
  <c r="BJ49" i="10"/>
  <c r="BI49" i="10"/>
  <c r="BH49" i="10"/>
  <c r="BG49" i="10"/>
  <c r="BF49" i="10"/>
  <c r="BE49" i="10"/>
  <c r="BD49" i="10"/>
  <c r="BC49" i="10"/>
  <c r="BB49" i="10"/>
  <c r="AZ49" i="10"/>
  <c r="AR49" i="10"/>
  <c r="BN49" i="10" s="1"/>
  <c r="AE49" i="10"/>
  <c r="BA49" i="10" s="1"/>
  <c r="G49" i="10"/>
  <c r="DF48" i="10"/>
  <c r="CQ48" i="10"/>
  <c r="DO48" i="10" s="1"/>
  <c r="BU48" i="10"/>
  <c r="BN48" i="10"/>
  <c r="AY48" i="10" s="1"/>
  <c r="AC48" i="10"/>
  <c r="DN48" i="10" s="1"/>
  <c r="G48" i="10"/>
  <c r="DM48" i="10" s="1"/>
  <c r="DO47" i="10"/>
  <c r="DF47" i="10"/>
  <c r="CQ47" i="10"/>
  <c r="BU47" i="10"/>
  <c r="BT47" i="10"/>
  <c r="CP47" i="10" s="1"/>
  <c r="BN47" i="10"/>
  <c r="AY47" i="10" s="1"/>
  <c r="DN47" i="10" s="1"/>
  <c r="AC47" i="10"/>
  <c r="AB47" i="10"/>
  <c r="AX47" i="10" s="1"/>
  <c r="G47" i="10"/>
  <c r="DM47" i="10" s="1"/>
  <c r="DK46" i="10"/>
  <c r="DJ46" i="10"/>
  <c r="DI46" i="10"/>
  <c r="DH46" i="10"/>
  <c r="DG46" i="10"/>
  <c r="DE46" i="10"/>
  <c r="DD46" i="10"/>
  <c r="DC46" i="10"/>
  <c r="DB46" i="10"/>
  <c r="DA46" i="10"/>
  <c r="CZ46" i="10"/>
  <c r="CY46" i="10"/>
  <c r="CX46" i="10"/>
  <c r="CW46" i="10"/>
  <c r="CV46" i="10"/>
  <c r="CU46" i="10"/>
  <c r="CT46" i="10"/>
  <c r="CR46" i="10"/>
  <c r="BW46" i="10"/>
  <c r="BU46" i="10" s="1"/>
  <c r="BS46" i="10"/>
  <c r="BR46" i="10"/>
  <c r="BQ46" i="10"/>
  <c r="BP46" i="10"/>
  <c r="BO46" i="10"/>
  <c r="BM46" i="10"/>
  <c r="BL46" i="10"/>
  <c r="BK46" i="10"/>
  <c r="BJ46" i="10"/>
  <c r="BI46" i="10"/>
  <c r="BH46" i="10"/>
  <c r="BG46" i="10"/>
  <c r="BF46" i="10"/>
  <c r="BE46" i="10"/>
  <c r="BD46" i="10"/>
  <c r="BC46" i="10"/>
  <c r="BB46" i="10"/>
  <c r="AZ46" i="10"/>
  <c r="AR46" i="10"/>
  <c r="AE46" i="10"/>
  <c r="AC46" i="10" s="1"/>
  <c r="V46" i="10"/>
  <c r="I46" i="10"/>
  <c r="DK45" i="10"/>
  <c r="DJ45" i="10"/>
  <c r="DI45" i="10"/>
  <c r="DH45" i="10"/>
  <c r="DG45" i="10"/>
  <c r="DF45" i="10"/>
  <c r="DE45" i="10"/>
  <c r="DD45" i="10"/>
  <c r="DB45" i="10"/>
  <c r="DA45" i="10"/>
  <c r="CZ45" i="10"/>
  <c r="CY45" i="10"/>
  <c r="CX45" i="10"/>
  <c r="CW45" i="10"/>
  <c r="CV45" i="10"/>
  <c r="CU45" i="10"/>
  <c r="CT45" i="10"/>
  <c r="CS45" i="10"/>
  <c r="CR45" i="10"/>
  <c r="CG45" i="10"/>
  <c r="CG121" i="10" s="1"/>
  <c r="BS45" i="10"/>
  <c r="BR45" i="10"/>
  <c r="BQ45" i="10"/>
  <c r="BP45" i="10"/>
  <c r="BO45" i="10"/>
  <c r="BN45" i="10"/>
  <c r="BM45" i="10"/>
  <c r="BL45" i="10"/>
  <c r="BJ45" i="10"/>
  <c r="BI45" i="10"/>
  <c r="BH45" i="10"/>
  <c r="BG45" i="10"/>
  <c r="BF45" i="10"/>
  <c r="BE45" i="10"/>
  <c r="BD45" i="10"/>
  <c r="BC45" i="10"/>
  <c r="BB45" i="10"/>
  <c r="BA45" i="10"/>
  <c r="AZ45" i="10"/>
  <c r="AO45" i="10"/>
  <c r="AO121" i="10" s="1"/>
  <c r="S45" i="10"/>
  <c r="DM44" i="10"/>
  <c r="DJ44" i="10"/>
  <c r="DI44" i="10"/>
  <c r="DH44" i="10"/>
  <c r="DG44" i="10"/>
  <c r="DF44" i="10"/>
  <c r="DE44" i="10"/>
  <c r="DD44" i="10"/>
  <c r="DC44" i="10"/>
  <c r="DB44" i="10"/>
  <c r="DA44" i="10"/>
  <c r="CZ44" i="10"/>
  <c r="CY44" i="10"/>
  <c r="CX44" i="10"/>
  <c r="CW44" i="10"/>
  <c r="CV44" i="10"/>
  <c r="CU44" i="10"/>
  <c r="CT44" i="10"/>
  <c r="CS44" i="10"/>
  <c r="CR44" i="10"/>
  <c r="CO44" i="10"/>
  <c r="DK44" i="10" s="1"/>
  <c r="BU44" i="10"/>
  <c r="BR44" i="10"/>
  <c r="BQ44" i="10"/>
  <c r="BP44" i="10"/>
  <c r="BO44" i="10"/>
  <c r="BN44" i="10"/>
  <c r="BM44" i="10"/>
  <c r="BL44" i="10"/>
  <c r="BK44" i="10"/>
  <c r="BJ44" i="10"/>
  <c r="BI44" i="10"/>
  <c r="BH44" i="10"/>
  <c r="BG44" i="10"/>
  <c r="BF44" i="10"/>
  <c r="BE44" i="10"/>
  <c r="BD44" i="10"/>
  <c r="BC44" i="10"/>
  <c r="BB44" i="10"/>
  <c r="BA44" i="10"/>
  <c r="AZ44" i="10"/>
  <c r="AW44" i="10"/>
  <c r="BS44" i="10" s="1"/>
  <c r="G44" i="10"/>
  <c r="DK43" i="10"/>
  <c r="DJ43" i="10"/>
  <c r="DI43" i="10"/>
  <c r="DH43" i="10"/>
  <c r="DG43" i="10"/>
  <c r="DF43" i="10"/>
  <c r="DE43" i="10"/>
  <c r="DD43" i="10"/>
  <c r="DC43" i="10"/>
  <c r="DB43" i="10"/>
  <c r="DA43" i="10"/>
  <c r="CZ43" i="10"/>
  <c r="CY43" i="10"/>
  <c r="CX43" i="10"/>
  <c r="CW43" i="10"/>
  <c r="CV43" i="10"/>
  <c r="CU43" i="10"/>
  <c r="CS43" i="10"/>
  <c r="CR43" i="10"/>
  <c r="BX43" i="10"/>
  <c r="BU43" i="10" s="1"/>
  <c r="BS43" i="10"/>
  <c r="BR43" i="10"/>
  <c r="BQ43" i="10"/>
  <c r="BP43" i="10"/>
  <c r="BO43" i="10"/>
  <c r="BN43" i="10"/>
  <c r="BM43" i="10"/>
  <c r="BL43" i="10"/>
  <c r="BK43" i="10"/>
  <c r="BJ43" i="10"/>
  <c r="BI43" i="10"/>
  <c r="BH43" i="10"/>
  <c r="BG43" i="10"/>
  <c r="BF43" i="10"/>
  <c r="BE43" i="10"/>
  <c r="BD43" i="10"/>
  <c r="BC43" i="10"/>
  <c r="BA43" i="10"/>
  <c r="AZ43" i="10"/>
  <c r="AF43" i="10"/>
  <c r="BB43" i="10" s="1"/>
  <c r="AC43" i="10"/>
  <c r="AB43" i="10" s="1"/>
  <c r="AX43" i="10" s="1"/>
  <c r="G43" i="10"/>
  <c r="DM43" i="10" s="1"/>
  <c r="DO42" i="10"/>
  <c r="DM42" i="10"/>
  <c r="DK42" i="10"/>
  <c r="CQ42" i="10" s="1"/>
  <c r="BU42" i="10"/>
  <c r="BT42" i="10" s="1"/>
  <c r="CP42" i="10" s="1"/>
  <c r="BS42" i="10"/>
  <c r="AY42" i="10"/>
  <c r="AC42" i="10"/>
  <c r="DN42" i="10" s="1"/>
  <c r="AB42" i="10"/>
  <c r="AX42" i="10" s="1"/>
  <c r="G42" i="10"/>
  <c r="DK41" i="10"/>
  <c r="DJ41" i="10"/>
  <c r="DI41" i="10"/>
  <c r="DH41" i="10"/>
  <c r="DG41" i="10"/>
  <c r="DF41" i="10"/>
  <c r="DE41" i="10"/>
  <c r="DD41" i="10"/>
  <c r="DC41" i="10"/>
  <c r="DB41" i="10"/>
  <c r="DA41" i="10"/>
  <c r="CZ41" i="10"/>
  <c r="CY41" i="10"/>
  <c r="CX41" i="10"/>
  <c r="CW41" i="10"/>
  <c r="CV41" i="10"/>
  <c r="CU41" i="10"/>
  <c r="CS41" i="10"/>
  <c r="CR41" i="10"/>
  <c r="BX41" i="10"/>
  <c r="BU41" i="10" s="1"/>
  <c r="BT41" i="10" s="1"/>
  <c r="CP41" i="10" s="1"/>
  <c r="BS41" i="10"/>
  <c r="BR41" i="10"/>
  <c r="BQ41" i="10"/>
  <c r="BP41" i="10"/>
  <c r="BO41" i="10"/>
  <c r="BN41" i="10"/>
  <c r="BM41" i="10"/>
  <c r="BL41" i="10"/>
  <c r="BK41" i="10"/>
  <c r="BJ41" i="10"/>
  <c r="BI41" i="10"/>
  <c r="BH41" i="10"/>
  <c r="BG41" i="10"/>
  <c r="BF41" i="10"/>
  <c r="BE41" i="10"/>
  <c r="BD41" i="10"/>
  <c r="BC41" i="10"/>
  <c r="BB41" i="10"/>
  <c r="BA41" i="10"/>
  <c r="AY41" i="10" s="1"/>
  <c r="AZ41" i="10"/>
  <c r="AF41" i="10"/>
  <c r="AC41" i="10" s="1"/>
  <c r="G41" i="10"/>
  <c r="DM41" i="10" s="1"/>
  <c r="DK40" i="10"/>
  <c r="DJ40" i="10"/>
  <c r="DI40" i="10"/>
  <c r="DH40" i="10"/>
  <c r="DG40" i="10"/>
  <c r="DE40" i="10"/>
  <c r="DD40" i="10"/>
  <c r="DC40" i="10"/>
  <c r="DB40" i="10"/>
  <c r="DA40" i="10"/>
  <c r="CZ40" i="10"/>
  <c r="CY40" i="10"/>
  <c r="CX40" i="10"/>
  <c r="CW40" i="10"/>
  <c r="CV40" i="10"/>
  <c r="CU40" i="10"/>
  <c r="CS40" i="10"/>
  <c r="CR40" i="10"/>
  <c r="BX40" i="10"/>
  <c r="CT40" i="10" s="1"/>
  <c r="BU40" i="10"/>
  <c r="BS40" i="10"/>
  <c r="BR40" i="10"/>
  <c r="BQ40" i="10"/>
  <c r="BP40" i="10"/>
  <c r="BO40" i="10"/>
  <c r="BM40" i="10"/>
  <c r="BL40" i="10"/>
  <c r="BK40" i="10"/>
  <c r="BJ40" i="10"/>
  <c r="BI40" i="10"/>
  <c r="BH40" i="10"/>
  <c r="BG40" i="10"/>
  <c r="BF40" i="10"/>
  <c r="BE40" i="10"/>
  <c r="BD40" i="10"/>
  <c r="BC40" i="10"/>
  <c r="BB40" i="10"/>
  <c r="BA40" i="10"/>
  <c r="AZ40" i="10"/>
  <c r="AW40" i="10"/>
  <c r="AF40" i="10"/>
  <c r="AC40" i="10"/>
  <c r="V40" i="10"/>
  <c r="DK39" i="10"/>
  <c r="DJ39" i="10"/>
  <c r="DI39" i="10"/>
  <c r="DH39" i="10"/>
  <c r="DG39" i="10"/>
  <c r="DE39" i="10"/>
  <c r="DD39" i="10"/>
  <c r="DC39" i="10"/>
  <c r="DB39" i="10"/>
  <c r="DA39" i="10"/>
  <c r="CZ39" i="10"/>
  <c r="CY39" i="10"/>
  <c r="CX39" i="10"/>
  <c r="CW39" i="10"/>
  <c r="CV39" i="10"/>
  <c r="CU39" i="10"/>
  <c r="CT39" i="10"/>
  <c r="CS39" i="10"/>
  <c r="CR39" i="10"/>
  <c r="BX39" i="10"/>
  <c r="BU39" i="10"/>
  <c r="BT39" i="10"/>
  <c r="CP39" i="10" s="1"/>
  <c r="BS39" i="10"/>
  <c r="BR39" i="10"/>
  <c r="BQ39" i="10"/>
  <c r="BP39" i="10"/>
  <c r="BO39" i="10"/>
  <c r="BM39" i="10"/>
  <c r="BL39" i="10"/>
  <c r="BK39" i="10"/>
  <c r="BJ39" i="10"/>
  <c r="BI39" i="10"/>
  <c r="BH39" i="10"/>
  <c r="BG39" i="10"/>
  <c r="BF39" i="10"/>
  <c r="BE39" i="10"/>
  <c r="BD39" i="10"/>
  <c r="BC39" i="10"/>
  <c r="BA39" i="10"/>
  <c r="AZ39" i="10"/>
  <c r="AF39" i="10"/>
  <c r="V39" i="10"/>
  <c r="G39" i="10"/>
  <c r="DM39" i="10" s="1"/>
  <c r="DK38" i="10"/>
  <c r="DJ38" i="10"/>
  <c r="DI38" i="10"/>
  <c r="DG38" i="10"/>
  <c r="DF38" i="10"/>
  <c r="DE38" i="10"/>
  <c r="DD38" i="10"/>
  <c r="DC38" i="10"/>
  <c r="DB38" i="10"/>
  <c r="DA38" i="10"/>
  <c r="CZ38" i="10"/>
  <c r="CY38" i="10"/>
  <c r="CX38" i="10"/>
  <c r="CW38" i="10"/>
  <c r="CV38" i="10"/>
  <c r="CU38" i="10"/>
  <c r="CT38" i="10"/>
  <c r="CR38" i="10"/>
  <c r="CL38" i="10"/>
  <c r="BW38" i="10"/>
  <c r="CS38" i="10" s="1"/>
  <c r="BU38" i="10"/>
  <c r="BS38" i="10"/>
  <c r="BR38" i="10"/>
  <c r="BQ38" i="10"/>
  <c r="BP38" i="10"/>
  <c r="BO38" i="10"/>
  <c r="BN38" i="10"/>
  <c r="BM38" i="10"/>
  <c r="BL38" i="10"/>
  <c r="BK38" i="10"/>
  <c r="BJ38" i="10"/>
  <c r="BI38" i="10"/>
  <c r="BH38" i="10"/>
  <c r="BG38" i="10"/>
  <c r="BF38" i="10"/>
  <c r="BE38" i="10"/>
  <c r="BD38" i="10"/>
  <c r="BC38" i="10"/>
  <c r="BB38" i="10"/>
  <c r="BA38" i="10"/>
  <c r="AZ38" i="10"/>
  <c r="AT38" i="10"/>
  <c r="AT121" i="10" s="1"/>
  <c r="AE38" i="10"/>
  <c r="AC38" i="10" s="1"/>
  <c r="X38" i="10"/>
  <c r="X121" i="10" s="1"/>
  <c r="X125" i="10" s="1"/>
  <c r="X127" i="10" s="1"/>
  <c r="G38" i="10"/>
  <c r="DM38" i="10" s="1"/>
  <c r="DM37" i="10"/>
  <c r="DJ37" i="10"/>
  <c r="DI37" i="10"/>
  <c r="DH37" i="10"/>
  <c r="DG37" i="10"/>
  <c r="DF37" i="10"/>
  <c r="DE37" i="10"/>
  <c r="DD37" i="10"/>
  <c r="DC37" i="10"/>
  <c r="DB37" i="10"/>
  <c r="DA37" i="10"/>
  <c r="CZ37" i="10"/>
  <c r="CY37" i="10"/>
  <c r="CX37" i="10"/>
  <c r="CW37" i="10"/>
  <c r="CV37" i="10"/>
  <c r="CU37" i="10"/>
  <c r="CT37" i="10"/>
  <c r="CS37" i="10"/>
  <c r="CR37" i="10"/>
  <c r="CO37" i="10"/>
  <c r="DK37" i="10" s="1"/>
  <c r="BU37" i="10"/>
  <c r="BS37" i="10"/>
  <c r="BR37" i="10"/>
  <c r="BQ37" i="10"/>
  <c r="BP37" i="10"/>
  <c r="BO37" i="10"/>
  <c r="BN37" i="10"/>
  <c r="BM37" i="10"/>
  <c r="BL37" i="10"/>
  <c r="BK37" i="10"/>
  <c r="BJ37" i="10"/>
  <c r="BI37" i="10"/>
  <c r="BH37" i="10"/>
  <c r="BG37" i="10"/>
  <c r="BF37" i="10"/>
  <c r="BE37" i="10"/>
  <c r="BE57" i="10" s="1"/>
  <c r="BD37" i="10"/>
  <c r="BC37" i="10"/>
  <c r="AY37" i="10" s="1"/>
  <c r="BB37" i="10"/>
  <c r="BA37" i="10"/>
  <c r="AZ37" i="10"/>
  <c r="AW37" i="10"/>
  <c r="AC37" i="10"/>
  <c r="G37" i="10"/>
  <c r="DJ36" i="10"/>
  <c r="DI36" i="10"/>
  <c r="DH36" i="10"/>
  <c r="DG36" i="10"/>
  <c r="DF36" i="10"/>
  <c r="DE36" i="10"/>
  <c r="DD36" i="10"/>
  <c r="DC36" i="10"/>
  <c r="DB36" i="10"/>
  <c r="DA36" i="10"/>
  <c r="CZ36" i="10"/>
  <c r="CY36" i="10"/>
  <c r="CX36" i="10"/>
  <c r="CW36" i="10"/>
  <c r="CV36" i="10"/>
  <c r="CU36" i="10"/>
  <c r="CT36" i="10"/>
  <c r="CS36" i="10"/>
  <c r="CR36" i="10"/>
  <c r="CO36" i="10"/>
  <c r="DK36" i="10" s="1"/>
  <c r="BX36" i="10"/>
  <c r="BR36" i="10"/>
  <c r="BQ36" i="10"/>
  <c r="BP36" i="10"/>
  <c r="BO36" i="10"/>
  <c r="BN36" i="10"/>
  <c r="BM36" i="10"/>
  <c r="BL36" i="10"/>
  <c r="BK36" i="10"/>
  <c r="BJ36" i="10"/>
  <c r="BI36" i="10"/>
  <c r="BH36" i="10"/>
  <c r="BG36" i="10"/>
  <c r="BF36" i="10"/>
  <c r="BE36" i="10"/>
  <c r="BD36" i="10"/>
  <c r="BC36" i="10"/>
  <c r="BA36" i="10"/>
  <c r="AZ36" i="10"/>
  <c r="AW36" i="10"/>
  <c r="BS36" i="10" s="1"/>
  <c r="AF36" i="10"/>
  <c r="G36" i="10"/>
  <c r="DM36" i="10" s="1"/>
  <c r="DJ35" i="10"/>
  <c r="DI35" i="10"/>
  <c r="DH35" i="10"/>
  <c r="DG35" i="10"/>
  <c r="DF35" i="10"/>
  <c r="DE35" i="10"/>
  <c r="DD35" i="10"/>
  <c r="DC35" i="10"/>
  <c r="DB35" i="10"/>
  <c r="DA35" i="10"/>
  <c r="CZ35" i="10"/>
  <c r="CY35" i="10"/>
  <c r="CX35" i="10"/>
  <c r="CW35" i="10"/>
  <c r="CV35" i="10"/>
  <c r="CU35" i="10"/>
  <c r="CT35" i="10"/>
  <c r="CR35" i="10"/>
  <c r="CO35" i="10"/>
  <c r="BW35" i="10"/>
  <c r="BR35" i="10"/>
  <c r="BQ35" i="10"/>
  <c r="BP35" i="10"/>
  <c r="BO35" i="10"/>
  <c r="BN35" i="10"/>
  <c r="BM35" i="10"/>
  <c r="BL35" i="10"/>
  <c r="BK35" i="10"/>
  <c r="BJ35" i="10"/>
  <c r="BI35" i="10"/>
  <c r="BH35" i="10"/>
  <c r="BG35" i="10"/>
  <c r="BF35" i="10"/>
  <c r="BE35" i="10"/>
  <c r="BD35" i="10"/>
  <c r="BC35" i="10"/>
  <c r="BB35" i="10"/>
  <c r="BA35" i="10"/>
  <c r="AZ35" i="10"/>
  <c r="AW35" i="10"/>
  <c r="AE35" i="10"/>
  <c r="AC35" i="10"/>
  <c r="AA35" i="10"/>
  <c r="G35" i="10"/>
  <c r="DM35" i="10" s="1"/>
  <c r="DK34" i="10"/>
  <c r="DJ34" i="10"/>
  <c r="DI34" i="10"/>
  <c r="DH34" i="10"/>
  <c r="DG34" i="10"/>
  <c r="DF34" i="10"/>
  <c r="DE34" i="10"/>
  <c r="DD34" i="10"/>
  <c r="DC34" i="10"/>
  <c r="DB34" i="10"/>
  <c r="DA34" i="10"/>
  <c r="CZ34" i="10"/>
  <c r="CY34" i="10"/>
  <c r="CX34" i="10"/>
  <c r="CW34" i="10"/>
  <c r="CV34" i="10"/>
  <c r="CU34" i="10"/>
  <c r="CT34" i="10"/>
  <c r="CR34" i="10"/>
  <c r="BW34" i="10"/>
  <c r="BU34" i="10" s="1"/>
  <c r="BS34" i="10"/>
  <c r="BR34" i="10"/>
  <c r="BQ34" i="10"/>
  <c r="BP34" i="10"/>
  <c r="BO34" i="10"/>
  <c r="BN34" i="10"/>
  <c r="BM34" i="10"/>
  <c r="BL34" i="10"/>
  <c r="BK34" i="10"/>
  <c r="BJ34" i="10"/>
  <c r="BI34" i="10"/>
  <c r="BH34" i="10"/>
  <c r="BG34" i="10"/>
  <c r="BF34" i="10"/>
  <c r="BE34" i="10"/>
  <c r="BD34" i="10"/>
  <c r="BC34" i="10"/>
  <c r="BB34" i="10"/>
  <c r="AZ34" i="10"/>
  <c r="AE34" i="10"/>
  <c r="G34" i="10"/>
  <c r="DM34" i="10" s="1"/>
  <c r="DK33" i="10"/>
  <c r="DJ33" i="10"/>
  <c r="DI33" i="10"/>
  <c r="DH33" i="10"/>
  <c r="DG33" i="10"/>
  <c r="DF33" i="10"/>
  <c r="DE33" i="10"/>
  <c r="DD33" i="10"/>
  <c r="DC33" i="10"/>
  <c r="DB33" i="10"/>
  <c r="DA33" i="10"/>
  <c r="CZ33" i="10"/>
  <c r="CY33" i="10"/>
  <c r="CX33" i="10"/>
  <c r="CW33" i="10"/>
  <c r="CV33" i="10"/>
  <c r="CU33" i="10"/>
  <c r="CT33" i="10"/>
  <c r="CR33" i="10"/>
  <c r="BW33" i="10"/>
  <c r="BU33" i="10" s="1"/>
  <c r="BT33" i="10"/>
  <c r="CP33" i="10" s="1"/>
  <c r="BS33" i="10"/>
  <c r="BR33" i="10"/>
  <c r="BQ33" i="10"/>
  <c r="BP33" i="10"/>
  <c r="BO33" i="10"/>
  <c r="BN33" i="10"/>
  <c r="BM33" i="10"/>
  <c r="BL33" i="10"/>
  <c r="BK33" i="10"/>
  <c r="BJ33" i="10"/>
  <c r="BI33" i="10"/>
  <c r="BH33" i="10"/>
  <c r="BG33" i="10"/>
  <c r="BF33" i="10"/>
  <c r="BE33" i="10"/>
  <c r="BD33" i="10"/>
  <c r="BC33" i="10"/>
  <c r="BB33" i="10"/>
  <c r="BA33" i="10"/>
  <c r="AZ33" i="10"/>
  <c r="AE33" i="10"/>
  <c r="AC33" i="10"/>
  <c r="AB33" i="10" s="1"/>
  <c r="AX33" i="10" s="1"/>
  <c r="I33" i="10"/>
  <c r="CS33" i="10" s="1"/>
  <c r="CQ33" i="10" s="1"/>
  <c r="DO33" i="10" s="1"/>
  <c r="G33" i="10"/>
  <c r="DM33" i="10" s="1"/>
  <c r="DK32" i="10"/>
  <c r="DJ32" i="10"/>
  <c r="DI32" i="10"/>
  <c r="DH32" i="10"/>
  <c r="DG32" i="10"/>
  <c r="DF32" i="10"/>
  <c r="DE32" i="10"/>
  <c r="DD32" i="10"/>
  <c r="DC32" i="10"/>
  <c r="DB32" i="10"/>
  <c r="DA32" i="10"/>
  <c r="CZ32" i="10"/>
  <c r="CY32" i="10"/>
  <c r="CX32" i="10"/>
  <c r="CW32" i="10"/>
  <c r="CV32" i="10"/>
  <c r="CU32" i="10"/>
  <c r="CT32" i="10"/>
  <c r="CQ32" i="10" s="1"/>
  <c r="CS32" i="10"/>
  <c r="CR32" i="10"/>
  <c r="BU32" i="10"/>
  <c r="BT32" i="10" s="1"/>
  <c r="CP32" i="10" s="1"/>
  <c r="BS32" i="10"/>
  <c r="BR32" i="10"/>
  <c r="BQ32" i="10"/>
  <c r="BP32" i="10"/>
  <c r="BO32" i="10"/>
  <c r="BN32" i="10"/>
  <c r="BM32" i="10"/>
  <c r="BL32" i="10"/>
  <c r="BK32" i="10"/>
  <c r="BJ32" i="10"/>
  <c r="BI32" i="10"/>
  <c r="BH32" i="10"/>
  <c r="BG32" i="10"/>
  <c r="BF32" i="10"/>
  <c r="BE32" i="10"/>
  <c r="BD32" i="10"/>
  <c r="BC32" i="10"/>
  <c r="BB32" i="10"/>
  <c r="BA32" i="10"/>
  <c r="AZ32" i="10"/>
  <c r="AX32" i="10"/>
  <c r="AC32" i="10"/>
  <c r="AB32" i="10"/>
  <c r="I32" i="10"/>
  <c r="G32" i="10"/>
  <c r="DM32" i="10" s="1"/>
  <c r="DK31" i="10"/>
  <c r="DJ31" i="10"/>
  <c r="DI31" i="10"/>
  <c r="DH31" i="10"/>
  <c r="DG31" i="10"/>
  <c r="DF31" i="10"/>
  <c r="DE31" i="10"/>
  <c r="DD31" i="10"/>
  <c r="DC31" i="10"/>
  <c r="DB31" i="10"/>
  <c r="DA31" i="10"/>
  <c r="CZ31" i="10"/>
  <c r="CY31" i="10"/>
  <c r="CX31" i="10"/>
  <c r="CW31" i="10"/>
  <c r="CV31" i="10"/>
  <c r="CU31" i="10"/>
  <c r="CT31" i="10"/>
  <c r="CR31" i="10"/>
  <c r="BW31" i="10"/>
  <c r="BS31" i="10"/>
  <c r="BR31" i="10"/>
  <c r="BQ31" i="10"/>
  <c r="BP31" i="10"/>
  <c r="BO31" i="10"/>
  <c r="BN31" i="10"/>
  <c r="BM31" i="10"/>
  <c r="BL31" i="10"/>
  <c r="BK31" i="10"/>
  <c r="BJ31" i="10"/>
  <c r="BI31" i="10"/>
  <c r="BH31" i="10"/>
  <c r="BG31" i="10"/>
  <c r="BF31" i="10"/>
  <c r="BE31" i="10"/>
  <c r="BD31" i="10"/>
  <c r="BC31" i="10"/>
  <c r="BB31" i="10"/>
  <c r="AZ31" i="10"/>
  <c r="AE31" i="10"/>
  <c r="BA31" i="10" s="1"/>
  <c r="AC31" i="10"/>
  <c r="AB31" i="10"/>
  <c r="AX31" i="10" s="1"/>
  <c r="G31" i="10"/>
  <c r="DM31" i="10" s="1"/>
  <c r="DM30" i="10"/>
  <c r="DK30" i="10"/>
  <c r="DJ30" i="10"/>
  <c r="DI30" i="10"/>
  <c r="DH30" i="10"/>
  <c r="DG30" i="10"/>
  <c r="DF30" i="10"/>
  <c r="DE30" i="10"/>
  <c r="DD30" i="10"/>
  <c r="DC30" i="10"/>
  <c r="DB30" i="10"/>
  <c r="DA30" i="10"/>
  <c r="DA57" i="10" s="1"/>
  <c r="CZ30" i="10"/>
  <c r="CY30" i="10"/>
  <c r="CX30" i="10"/>
  <c r="CW30" i="10"/>
  <c r="CV30" i="10"/>
  <c r="CU30" i="10"/>
  <c r="CT30" i="10"/>
  <c r="CS30" i="10"/>
  <c r="CR30" i="10"/>
  <c r="BU30" i="10"/>
  <c r="BS30" i="10"/>
  <c r="BR30" i="10"/>
  <c r="BQ30" i="10"/>
  <c r="BQ57" i="10" s="1"/>
  <c r="BP30" i="10"/>
  <c r="BO30" i="10"/>
  <c r="BN30" i="10"/>
  <c r="BM30" i="10"/>
  <c r="BL30" i="10"/>
  <c r="BK30" i="10"/>
  <c r="BJ30" i="10"/>
  <c r="BI30" i="10"/>
  <c r="BH30" i="10"/>
  <c r="BG30" i="10"/>
  <c r="BF30" i="10"/>
  <c r="BE30" i="10"/>
  <c r="BD30" i="10"/>
  <c r="BC30" i="10"/>
  <c r="BB30" i="10"/>
  <c r="BA30" i="10"/>
  <c r="AZ30" i="10"/>
  <c r="AY30" i="10"/>
  <c r="DN30" i="10" s="1"/>
  <c r="AC30" i="10"/>
  <c r="AB30" i="10" s="1"/>
  <c r="AX30" i="10" s="1"/>
  <c r="G30" i="10"/>
  <c r="DK29" i="10"/>
  <c r="DJ29" i="10"/>
  <c r="DI29" i="10"/>
  <c r="DH29" i="10"/>
  <c r="DG29" i="10"/>
  <c r="DE29" i="10"/>
  <c r="DD29" i="10"/>
  <c r="DC29" i="10"/>
  <c r="DB29" i="10"/>
  <c r="DA29" i="10"/>
  <c r="CZ29" i="10"/>
  <c r="CY29" i="10"/>
  <c r="CX29" i="10"/>
  <c r="CW29" i="10"/>
  <c r="CV29" i="10"/>
  <c r="CU29" i="10"/>
  <c r="CT29" i="10"/>
  <c r="CS29" i="10"/>
  <c r="CR29" i="10"/>
  <c r="CJ29" i="10"/>
  <c r="DF29" i="10" s="1"/>
  <c r="BS29" i="10"/>
  <c r="BR29" i="10"/>
  <c r="BQ29" i="10"/>
  <c r="BP29" i="10"/>
  <c r="BO29" i="10"/>
  <c r="BM29" i="10"/>
  <c r="BL29" i="10"/>
  <c r="BK29" i="10"/>
  <c r="BJ29" i="10"/>
  <c r="BI29" i="10"/>
  <c r="BH29" i="10"/>
  <c r="BG29" i="10"/>
  <c r="BF29" i="10"/>
  <c r="BE29" i="10"/>
  <c r="BD29" i="10"/>
  <c r="BC29" i="10"/>
  <c r="BB29" i="10"/>
  <c r="BA29" i="10"/>
  <c r="AZ29" i="10"/>
  <c r="AR29" i="10"/>
  <c r="AC29" i="10" s="1"/>
  <c r="G29" i="10"/>
  <c r="DM29" i="10" s="1"/>
  <c r="DK28" i="10"/>
  <c r="DJ28" i="10"/>
  <c r="DI28" i="10"/>
  <c r="DH28" i="10"/>
  <c r="DG28" i="10"/>
  <c r="DE28" i="10"/>
  <c r="DD28" i="10"/>
  <c r="DC28" i="10"/>
  <c r="DB28" i="10"/>
  <c r="DA28" i="10"/>
  <c r="CZ28" i="10"/>
  <c r="CY28" i="10"/>
  <c r="CX28" i="10"/>
  <c r="CW28" i="10"/>
  <c r="CV28" i="10"/>
  <c r="CU28" i="10"/>
  <c r="CT28" i="10"/>
  <c r="CS28" i="10"/>
  <c r="CR28" i="10"/>
  <c r="CJ28" i="10"/>
  <c r="BU28" i="10"/>
  <c r="BT28" i="10"/>
  <c r="CP28" i="10" s="1"/>
  <c r="BS28" i="10"/>
  <c r="BR28" i="10"/>
  <c r="BQ28" i="10"/>
  <c r="BP28" i="10"/>
  <c r="BO28" i="10"/>
  <c r="BM28" i="10"/>
  <c r="BL28" i="10"/>
  <c r="BK28" i="10"/>
  <c r="BJ28" i="10"/>
  <c r="BI28" i="10"/>
  <c r="BH28" i="10"/>
  <c r="BG28" i="10"/>
  <c r="BF28" i="10"/>
  <c r="BE28" i="10"/>
  <c r="BD28" i="10"/>
  <c r="BC28" i="10"/>
  <c r="BB28" i="10"/>
  <c r="BA28" i="10"/>
  <c r="AZ28" i="10"/>
  <c r="AR28" i="10"/>
  <c r="AC28" i="10"/>
  <c r="AB28" i="10"/>
  <c r="AX28" i="10" s="1"/>
  <c r="G28" i="10"/>
  <c r="DM28" i="10" s="1"/>
  <c r="DJ27" i="10"/>
  <c r="DI27" i="10"/>
  <c r="DH27" i="10"/>
  <c r="DG27" i="10"/>
  <c r="DF27" i="10"/>
  <c r="DE27" i="10"/>
  <c r="DD27" i="10"/>
  <c r="DC27" i="10"/>
  <c r="DB27" i="10"/>
  <c r="DA27" i="10"/>
  <c r="CZ27" i="10"/>
  <c r="CY27" i="10"/>
  <c r="CX27" i="10"/>
  <c r="CW27" i="10"/>
  <c r="CV27" i="10"/>
  <c r="CU27" i="10"/>
  <c r="CT27" i="10"/>
  <c r="CS27" i="10"/>
  <c r="CR27" i="10"/>
  <c r="BX27" i="10"/>
  <c r="BR27" i="10"/>
  <c r="BQ27" i="10"/>
  <c r="BP27" i="10"/>
  <c r="BO27" i="10"/>
  <c r="BN27" i="10"/>
  <c r="BM27" i="10"/>
  <c r="BL27" i="10"/>
  <c r="BK27" i="10"/>
  <c r="BJ27" i="10"/>
  <c r="BI27" i="10"/>
  <c r="BH27" i="10"/>
  <c r="BG27" i="10"/>
  <c r="BF27" i="10"/>
  <c r="BE27" i="10"/>
  <c r="BD27" i="10"/>
  <c r="BC27" i="10"/>
  <c r="BB27" i="10"/>
  <c r="BA27" i="10"/>
  <c r="AZ27" i="10"/>
  <c r="AW27" i="10"/>
  <c r="AF27" i="10"/>
  <c r="G27" i="10"/>
  <c r="DM27" i="10" s="1"/>
  <c r="DK26" i="10"/>
  <c r="DJ26" i="10"/>
  <c r="DI26" i="10"/>
  <c r="DH26" i="10"/>
  <c r="DG26" i="10"/>
  <c r="DF26" i="10"/>
  <c r="DE26" i="10"/>
  <c r="DD26" i="10"/>
  <c r="DC26" i="10"/>
  <c r="DB26" i="10"/>
  <c r="DA26" i="10"/>
  <c r="CZ26" i="10"/>
  <c r="CY26" i="10"/>
  <c r="CX26" i="10"/>
  <c r="CW26" i="10"/>
  <c r="CV26" i="10"/>
  <c r="CU26" i="10"/>
  <c r="CS26" i="10"/>
  <c r="CR26" i="10"/>
  <c r="CR57" i="10" s="1"/>
  <c r="BX26" i="10"/>
  <c r="BS26" i="10"/>
  <c r="BR26" i="10"/>
  <c r="BQ26" i="10"/>
  <c r="BP26" i="10"/>
  <c r="BO26" i="10"/>
  <c r="BN26" i="10"/>
  <c r="BM26" i="10"/>
  <c r="BL26" i="10"/>
  <c r="BK26" i="10"/>
  <c r="BJ26" i="10"/>
  <c r="BI26" i="10"/>
  <c r="BH26" i="10"/>
  <c r="BG26" i="10"/>
  <c r="BF26" i="10"/>
  <c r="BE26" i="10"/>
  <c r="BD26" i="10"/>
  <c r="BC26" i="10"/>
  <c r="BA26" i="10"/>
  <c r="AZ26" i="10"/>
  <c r="AF26" i="10"/>
  <c r="AC26" i="10" s="1"/>
  <c r="G26" i="10"/>
  <c r="DM26" i="10" s="1"/>
  <c r="DK25" i="10"/>
  <c r="DJ25" i="10"/>
  <c r="DI25" i="10"/>
  <c r="DH25" i="10"/>
  <c r="DG25" i="10"/>
  <c r="DF25" i="10"/>
  <c r="DE25" i="10"/>
  <c r="DD25" i="10"/>
  <c r="DC25" i="10"/>
  <c r="DB25" i="10"/>
  <c r="DA25" i="10"/>
  <c r="CZ25" i="10"/>
  <c r="CY25" i="10"/>
  <c r="CX25" i="10"/>
  <c r="CW25" i="10"/>
  <c r="CV25" i="10"/>
  <c r="CU25" i="10"/>
  <c r="CS25" i="10"/>
  <c r="CR25" i="10"/>
  <c r="BX25" i="10"/>
  <c r="BS25" i="10"/>
  <c r="BR25" i="10"/>
  <c r="BQ25" i="10"/>
  <c r="BP25" i="10"/>
  <c r="BO25" i="10"/>
  <c r="BO57" i="10" s="1"/>
  <c r="BN25" i="10"/>
  <c r="BM25" i="10"/>
  <c r="BL25" i="10"/>
  <c r="BK25" i="10"/>
  <c r="BJ25" i="10"/>
  <c r="BI25" i="10"/>
  <c r="BH25" i="10"/>
  <c r="BG25" i="10"/>
  <c r="BF25" i="10"/>
  <c r="BE25" i="10"/>
  <c r="BD25" i="10"/>
  <c r="BC25" i="10"/>
  <c r="BA25" i="10"/>
  <c r="AZ25" i="10"/>
  <c r="AF25" i="10"/>
  <c r="AC25" i="10"/>
  <c r="AB25" i="10" s="1"/>
  <c r="AX25" i="10" s="1"/>
  <c r="G25" i="10"/>
  <c r="DM25" i="10" s="1"/>
  <c r="CN24" i="10"/>
  <c r="CM24" i="10"/>
  <c r="CL24" i="10"/>
  <c r="CK24" i="10"/>
  <c r="CJ24" i="10"/>
  <c r="CH24" i="10"/>
  <c r="CG24" i="10"/>
  <c r="CF24" i="10"/>
  <c r="CE24" i="10"/>
  <c r="CE116" i="10" s="1"/>
  <c r="CD24" i="10"/>
  <c r="CC24" i="10"/>
  <c r="CB24" i="10"/>
  <c r="CA24" i="10"/>
  <c r="BZ24" i="10"/>
  <c r="BW24" i="10"/>
  <c r="BV24" i="10"/>
  <c r="AV24" i="10"/>
  <c r="AU24" i="10"/>
  <c r="AT24" i="10"/>
  <c r="AS24" i="10"/>
  <c r="AR24" i="10"/>
  <c r="AP24" i="10"/>
  <c r="AO24" i="10"/>
  <c r="AN24" i="10"/>
  <c r="AM24" i="10"/>
  <c r="AM116" i="10" s="1"/>
  <c r="AL24" i="10"/>
  <c r="AK24" i="10"/>
  <c r="AJ24" i="10"/>
  <c r="AI24" i="10"/>
  <c r="AH24" i="10"/>
  <c r="AG24" i="10"/>
  <c r="AD24" i="10"/>
  <c r="Z24" i="10"/>
  <c r="Y24" i="10"/>
  <c r="X24" i="10"/>
  <c r="W24" i="10"/>
  <c r="V24" i="10"/>
  <c r="U24" i="10"/>
  <c r="T24" i="10"/>
  <c r="T116" i="10" s="1"/>
  <c r="T128" i="10" s="1"/>
  <c r="S24" i="10"/>
  <c r="R24" i="10"/>
  <c r="Q24" i="10"/>
  <c r="Q116" i="10" s="1"/>
  <c r="P24" i="10"/>
  <c r="O24" i="10"/>
  <c r="N24" i="10"/>
  <c r="N116" i="10" s="1"/>
  <c r="M24" i="10"/>
  <c r="L24" i="10"/>
  <c r="L116" i="10" s="1"/>
  <c r="K24" i="10"/>
  <c r="J24" i="10"/>
  <c r="H24" i="10"/>
  <c r="DK23" i="10"/>
  <c r="DJ23" i="10"/>
  <c r="DI23" i="10"/>
  <c r="DH23" i="10"/>
  <c r="DG23" i="10"/>
  <c r="DF23" i="10"/>
  <c r="DE23" i="10"/>
  <c r="DD23" i="10"/>
  <c r="DC23" i="10"/>
  <c r="DB23" i="10"/>
  <c r="DA23" i="10"/>
  <c r="CZ23" i="10"/>
  <c r="CY23" i="10"/>
  <c r="CX23" i="10"/>
  <c r="CW23" i="10"/>
  <c r="CV23" i="10"/>
  <c r="CU23" i="10"/>
  <c r="CS23" i="10"/>
  <c r="CR23" i="10"/>
  <c r="BX23" i="10"/>
  <c r="BS23" i="10"/>
  <c r="BR23" i="10"/>
  <c r="BQ23" i="10"/>
  <c r="BP23" i="10"/>
  <c r="BO23" i="10"/>
  <c r="BN23" i="10"/>
  <c r="BM23" i="10"/>
  <c r="BL23" i="10"/>
  <c r="BK23" i="10"/>
  <c r="BJ23" i="10"/>
  <c r="BI23" i="10"/>
  <c r="BH23" i="10"/>
  <c r="BG23" i="10"/>
  <c r="BF23" i="10"/>
  <c r="BE23" i="10"/>
  <c r="BD23" i="10"/>
  <c r="BC23" i="10"/>
  <c r="BA23" i="10"/>
  <c r="AZ23" i="10"/>
  <c r="AF23" i="10"/>
  <c r="BB23" i="10" s="1"/>
  <c r="AY23" i="10" s="1"/>
  <c r="AC23" i="10"/>
  <c r="AB23" i="10"/>
  <c r="AX23" i="10" s="1"/>
  <c r="G23" i="10"/>
  <c r="DJ22" i="10"/>
  <c r="DI22" i="10"/>
  <c r="DH22" i="10"/>
  <c r="DG22" i="10"/>
  <c r="DF22" i="10"/>
  <c r="DE22" i="10"/>
  <c r="DD22" i="10"/>
  <c r="DC22" i="10"/>
  <c r="DB22" i="10"/>
  <c r="DA22" i="10"/>
  <c r="CZ22" i="10"/>
  <c r="CY22" i="10"/>
  <c r="CX22" i="10"/>
  <c r="CW22" i="10"/>
  <c r="CV22" i="10"/>
  <c r="CU22" i="10"/>
  <c r="CT22" i="10"/>
  <c r="CR22" i="10"/>
  <c r="CO22" i="10"/>
  <c r="BW22" i="10"/>
  <c r="BR22" i="10"/>
  <c r="BQ22" i="10"/>
  <c r="BP22" i="10"/>
  <c r="BO22" i="10"/>
  <c r="BN22" i="10"/>
  <c r="BM22" i="10"/>
  <c r="BL22" i="10"/>
  <c r="BK22" i="10"/>
  <c r="BJ22" i="10"/>
  <c r="BI22" i="10"/>
  <c r="BH22" i="10"/>
  <c r="BG22" i="10"/>
  <c r="BF22" i="10"/>
  <c r="BE22" i="10"/>
  <c r="BD22" i="10"/>
  <c r="BC22" i="10"/>
  <c r="BB22" i="10"/>
  <c r="BA22" i="10"/>
  <c r="AZ22" i="10"/>
  <c r="AW22" i="10"/>
  <c r="AQ22" i="10"/>
  <c r="AE22" i="10"/>
  <c r="AC22" i="10"/>
  <c r="AA22" i="10"/>
  <c r="DK21" i="10"/>
  <c r="DJ21" i="10"/>
  <c r="DI21" i="10"/>
  <c r="DH21" i="10"/>
  <c r="DG21" i="10"/>
  <c r="DF21" i="10"/>
  <c r="DE21" i="10"/>
  <c r="DD21" i="10"/>
  <c r="DC21" i="10"/>
  <c r="DB21" i="10"/>
  <c r="DA21" i="10"/>
  <c r="CZ21" i="10"/>
  <c r="CY21" i="10"/>
  <c r="CX21" i="10"/>
  <c r="CW21" i="10"/>
  <c r="CV21" i="10"/>
  <c r="CU21" i="10"/>
  <c r="CT21" i="10"/>
  <c r="CS21" i="10"/>
  <c r="CR21" i="10"/>
  <c r="BW21" i="10"/>
  <c r="BU21" i="10" s="1"/>
  <c r="BS21" i="10"/>
  <c r="BR21" i="10"/>
  <c r="BQ21" i="10"/>
  <c r="BP21" i="10"/>
  <c r="BO21" i="10"/>
  <c r="BN21" i="10"/>
  <c r="BM21" i="10"/>
  <c r="BL21" i="10"/>
  <c r="BK21" i="10"/>
  <c r="BJ21" i="10"/>
  <c r="BI21" i="10"/>
  <c r="BH21" i="10"/>
  <c r="BG21" i="10"/>
  <c r="BF21" i="10"/>
  <c r="BE21" i="10"/>
  <c r="BD21" i="10"/>
  <c r="BC21" i="10"/>
  <c r="BB21" i="10"/>
  <c r="AZ21" i="10"/>
  <c r="AE21" i="10"/>
  <c r="BA21" i="10" s="1"/>
  <c r="AY21" i="10" s="1"/>
  <c r="AC21" i="10"/>
  <c r="G21" i="10"/>
  <c r="DM21" i="10" s="1"/>
  <c r="DF20" i="10"/>
  <c r="CQ20" i="10" s="1"/>
  <c r="DO20" i="10" s="1"/>
  <c r="BS20" i="10"/>
  <c r="BR20" i="10"/>
  <c r="BQ20" i="10"/>
  <c r="BP20" i="10"/>
  <c r="BO20" i="10"/>
  <c r="BN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BA20" i="10"/>
  <c r="AZ20" i="10"/>
  <c r="AC20" i="10"/>
  <c r="G20" i="10"/>
  <c r="AB20" i="10" s="1"/>
  <c r="AX20" i="10" s="1"/>
  <c r="DM19" i="10"/>
  <c r="DF19" i="10"/>
  <c r="CQ19" i="10" s="1"/>
  <c r="DO19" i="10" s="1"/>
  <c r="BT19" i="10"/>
  <c r="CP19" i="10" s="1"/>
  <c r="BS19" i="10"/>
  <c r="BR19" i="10"/>
  <c r="BQ19" i="10"/>
  <c r="BP19" i="10"/>
  <c r="BO19" i="10"/>
  <c r="BN19" i="10"/>
  <c r="BM19" i="10"/>
  <c r="BL19" i="10"/>
  <c r="BK19" i="10"/>
  <c r="BJ19" i="10"/>
  <c r="BI19" i="10"/>
  <c r="BH19" i="10"/>
  <c r="BG19" i="10"/>
  <c r="BF19" i="10"/>
  <c r="BE19" i="10"/>
  <c r="BD19" i="10"/>
  <c r="BC19" i="10"/>
  <c r="BB19" i="10"/>
  <c r="BA19" i="10"/>
  <c r="AZ19" i="10"/>
  <c r="AY19" i="10" s="1"/>
  <c r="AC19" i="10"/>
  <c r="AB19" i="10"/>
  <c r="AX19" i="10" s="1"/>
  <c r="G19" i="10"/>
  <c r="DJ18" i="10"/>
  <c r="DI18" i="10"/>
  <c r="DH18" i="10"/>
  <c r="DG18" i="10"/>
  <c r="DF18" i="10"/>
  <c r="DD18" i="10"/>
  <c r="DC18" i="10"/>
  <c r="DB18" i="10"/>
  <c r="DA18" i="10"/>
  <c r="CZ18" i="10"/>
  <c r="CY18" i="10"/>
  <c r="CX18" i="10"/>
  <c r="CW18" i="10"/>
  <c r="CV18" i="10"/>
  <c r="CU18" i="10"/>
  <c r="CT18" i="10"/>
  <c r="CR18" i="10"/>
  <c r="CI18" i="10"/>
  <c r="DE18" i="10" s="1"/>
  <c r="BW18" i="10"/>
  <c r="BR18" i="10"/>
  <c r="BQ18" i="10"/>
  <c r="BP18" i="10"/>
  <c r="BO18" i="10"/>
  <c r="BN18" i="10"/>
  <c r="BM18" i="10"/>
  <c r="BL18" i="10"/>
  <c r="BK18" i="10"/>
  <c r="BJ18" i="10"/>
  <c r="BI18" i="10"/>
  <c r="BH18" i="10"/>
  <c r="BG18" i="10"/>
  <c r="BF18" i="10"/>
  <c r="BE18" i="10"/>
  <c r="BD18" i="10"/>
  <c r="BC18" i="10"/>
  <c r="BB18" i="10"/>
  <c r="BA18" i="10"/>
  <c r="AZ18" i="10"/>
  <c r="AW18" i="10"/>
  <c r="AC18" i="10" s="1"/>
  <c r="AQ18" i="10"/>
  <c r="AE18" i="10"/>
  <c r="AA18" i="10"/>
  <c r="DK17" i="10"/>
  <c r="DJ17" i="10"/>
  <c r="DI17" i="10"/>
  <c r="DH17" i="10"/>
  <c r="DG17" i="10"/>
  <c r="DF17" i="10"/>
  <c r="DE17" i="10"/>
  <c r="DD17" i="10"/>
  <c r="DC17" i="10"/>
  <c r="DB17" i="10"/>
  <c r="DA17" i="10"/>
  <c r="CZ17" i="10"/>
  <c r="CY17" i="10"/>
  <c r="CX17" i="10"/>
  <c r="CW17" i="10"/>
  <c r="CV17" i="10"/>
  <c r="CU17" i="10"/>
  <c r="CT17" i="10"/>
  <c r="CS17" i="10"/>
  <c r="CR17" i="10"/>
  <c r="CO17" i="10"/>
  <c r="BW17" i="10"/>
  <c r="BU17" i="10"/>
  <c r="BR17" i="10"/>
  <c r="BQ17" i="10"/>
  <c r="BP17" i="10"/>
  <c r="BO17" i="10"/>
  <c r="BN17" i="10"/>
  <c r="BM17" i="10"/>
  <c r="BL17" i="10"/>
  <c r="BK17" i="10"/>
  <c r="BJ17" i="10"/>
  <c r="BI17" i="10"/>
  <c r="BH17" i="10"/>
  <c r="BG17" i="10"/>
  <c r="BF17" i="10"/>
  <c r="BE17" i="10"/>
  <c r="BD17" i="10"/>
  <c r="BC17" i="10"/>
  <c r="BB17" i="10"/>
  <c r="AZ17" i="10"/>
  <c r="AW17" i="10"/>
  <c r="BS17" i="10" s="1"/>
  <c r="AE17" i="10"/>
  <c r="I17" i="10"/>
  <c r="G17" i="10"/>
  <c r="DM17" i="10" s="1"/>
  <c r="DK16" i="10"/>
  <c r="DJ16" i="10"/>
  <c r="DI16" i="10"/>
  <c r="DH16" i="10"/>
  <c r="DG16" i="10"/>
  <c r="DF16" i="10"/>
  <c r="DE16" i="10"/>
  <c r="DD16" i="10"/>
  <c r="DC16" i="10"/>
  <c r="DC24" i="10" s="1"/>
  <c r="DB16" i="10"/>
  <c r="DA16" i="10"/>
  <c r="CZ16" i="10"/>
  <c r="CY16" i="10"/>
  <c r="CX16" i="10"/>
  <c r="CW16" i="10"/>
  <c r="CV16" i="10"/>
  <c r="CU16" i="10"/>
  <c r="CS16" i="10"/>
  <c r="CR16" i="10"/>
  <c r="BX16" i="10"/>
  <c r="BS16" i="10"/>
  <c r="BR16" i="10"/>
  <c r="BQ16" i="10"/>
  <c r="BP16" i="10"/>
  <c r="BO16" i="10"/>
  <c r="BN16" i="10"/>
  <c r="BM16" i="10"/>
  <c r="BL16" i="10"/>
  <c r="BK16" i="10"/>
  <c r="BJ16" i="10"/>
  <c r="BI16" i="10"/>
  <c r="BH16" i="10"/>
  <c r="BG16" i="10"/>
  <c r="BF16" i="10"/>
  <c r="BE16" i="10"/>
  <c r="BD16" i="10"/>
  <c r="BC16" i="10"/>
  <c r="BA16" i="10"/>
  <c r="AZ16" i="10"/>
  <c r="AF16" i="10"/>
  <c r="BB16" i="10" s="1"/>
  <c r="AC16" i="10"/>
  <c r="G16" i="10"/>
  <c r="DM16" i="10" s="1"/>
  <c r="DK15" i="10"/>
  <c r="DJ15" i="10"/>
  <c r="DI15" i="10"/>
  <c r="DH15" i="10"/>
  <c r="DG15" i="10"/>
  <c r="DF15" i="10"/>
  <c r="DE15" i="10"/>
  <c r="DD15" i="10"/>
  <c r="DC15" i="10"/>
  <c r="DB15" i="10"/>
  <c r="DA15" i="10"/>
  <c r="CZ15" i="10"/>
  <c r="CY15" i="10"/>
  <c r="CX15" i="10"/>
  <c r="CW15" i="10"/>
  <c r="CV15" i="10"/>
  <c r="CU15" i="10"/>
  <c r="CS15" i="10"/>
  <c r="CR15" i="10"/>
  <c r="BX15" i="10"/>
  <c r="BS15" i="10"/>
  <c r="BR15" i="10"/>
  <c r="BQ15" i="10"/>
  <c r="BP15" i="10"/>
  <c r="BO15" i="10"/>
  <c r="BN15" i="10"/>
  <c r="BM15" i="10"/>
  <c r="BL15" i="10"/>
  <c r="BK15" i="10"/>
  <c r="BJ15" i="10"/>
  <c r="BI15" i="10"/>
  <c r="BH15" i="10"/>
  <c r="BG15" i="10"/>
  <c r="BF15" i="10"/>
  <c r="BE15" i="10"/>
  <c r="BD15" i="10"/>
  <c r="BC15" i="10"/>
  <c r="BB15" i="10"/>
  <c r="BA15" i="10"/>
  <c r="AZ15" i="10"/>
  <c r="AF15" i="10"/>
  <c r="AC15" i="10" s="1"/>
  <c r="G15" i="10"/>
  <c r="DM15" i="10" s="1"/>
  <c r="DK14" i="10"/>
  <c r="DJ14" i="10"/>
  <c r="DI14" i="10"/>
  <c r="DH14" i="10"/>
  <c r="DG14" i="10"/>
  <c r="DF14" i="10"/>
  <c r="DE14" i="10"/>
  <c r="DD14" i="10"/>
  <c r="DC14" i="10"/>
  <c r="DB14" i="10"/>
  <c r="DA14" i="10"/>
  <c r="CZ14" i="10"/>
  <c r="CY14" i="10"/>
  <c r="CX14" i="10"/>
  <c r="CW14" i="10"/>
  <c r="CV14" i="10"/>
  <c r="CT14" i="10"/>
  <c r="CS14" i="10"/>
  <c r="CR14" i="10"/>
  <c r="BY14" i="10"/>
  <c r="CU14" i="10" s="1"/>
  <c r="CQ14" i="10" s="1"/>
  <c r="BS14" i="10"/>
  <c r="BR14" i="10"/>
  <c r="BQ14" i="10"/>
  <c r="BP14" i="10"/>
  <c r="BO14" i="10"/>
  <c r="BN14" i="10"/>
  <c r="BM14" i="10"/>
  <c r="BL14" i="10"/>
  <c r="BK14" i="10"/>
  <c r="BJ14" i="10"/>
  <c r="BI14" i="10"/>
  <c r="BH14" i="10"/>
  <c r="BG14" i="10"/>
  <c r="BF14" i="10"/>
  <c r="BE14" i="10"/>
  <c r="BD14" i="10"/>
  <c r="BC14" i="10"/>
  <c r="BA14" i="10"/>
  <c r="AZ14" i="10"/>
  <c r="AG14" i="10"/>
  <c r="AG122" i="10" s="1"/>
  <c r="AF14" i="10"/>
  <c r="G14" i="10"/>
  <c r="DM14" i="10" s="1"/>
  <c r="DM13" i="10"/>
  <c r="DK13" i="10"/>
  <c r="DJ13" i="10"/>
  <c r="DI13" i="10"/>
  <c r="DH13" i="10"/>
  <c r="DG13" i="10"/>
  <c r="DF13" i="10"/>
  <c r="DE13" i="10"/>
  <c r="DD13" i="10"/>
  <c r="DC13" i="10"/>
  <c r="DB13" i="10"/>
  <c r="DA13" i="10"/>
  <c r="CZ13" i="10"/>
  <c r="CY13" i="10"/>
  <c r="CX13" i="10"/>
  <c r="CW13" i="10"/>
  <c r="CV13" i="10"/>
  <c r="CU13" i="10"/>
  <c r="CS13" i="10"/>
  <c r="CR13" i="10"/>
  <c r="CI13" i="10"/>
  <c r="BX13" i="10"/>
  <c r="BU13" i="10" s="1"/>
  <c r="BT13" i="10" s="1"/>
  <c r="CP13" i="10" s="1"/>
  <c r="BS13" i="10"/>
  <c r="BR13" i="10"/>
  <c r="BQ13" i="10"/>
  <c r="BP13" i="10"/>
  <c r="BO13" i="10"/>
  <c r="BN13" i="10"/>
  <c r="BL13" i="10"/>
  <c r="BK13" i="10"/>
  <c r="BJ13" i="10"/>
  <c r="BI13" i="10"/>
  <c r="BH13" i="10"/>
  <c r="BG13" i="10"/>
  <c r="BF13" i="10"/>
  <c r="BE13" i="10"/>
  <c r="BD13" i="10"/>
  <c r="BC13" i="10"/>
  <c r="BA13" i="10"/>
  <c r="AZ13" i="10"/>
  <c r="AQ13" i="10"/>
  <c r="BM13" i="10" s="1"/>
  <c r="AF13" i="10"/>
  <c r="G13" i="10"/>
  <c r="DJ12" i="10"/>
  <c r="DI12" i="10"/>
  <c r="DH12" i="10"/>
  <c r="DG12" i="10"/>
  <c r="DF12" i="10"/>
  <c r="DD12" i="10"/>
  <c r="DC12" i="10"/>
  <c r="DB12" i="10"/>
  <c r="DA12" i="10"/>
  <c r="CZ12" i="10"/>
  <c r="CY12" i="10"/>
  <c r="CX12" i="10"/>
  <c r="CW12" i="10"/>
  <c r="CV12" i="10"/>
  <c r="CU12" i="10"/>
  <c r="CT12" i="10"/>
  <c r="CR12" i="10"/>
  <c r="CO12" i="10"/>
  <c r="CI12" i="10"/>
  <c r="DE12" i="10" s="1"/>
  <c r="BW12" i="10"/>
  <c r="CS12" i="10" s="1"/>
  <c r="BR12" i="10"/>
  <c r="BQ12" i="10"/>
  <c r="BP12" i="10"/>
  <c r="BO12" i="10"/>
  <c r="BN12" i="10"/>
  <c r="BM12" i="10"/>
  <c r="BL12" i="10"/>
  <c r="BK12" i="10"/>
  <c r="BJ12" i="10"/>
  <c r="BI12" i="10"/>
  <c r="BH12" i="10"/>
  <c r="BG12" i="10"/>
  <c r="BF12" i="10"/>
  <c r="BE12" i="10"/>
  <c r="BD12" i="10"/>
  <c r="BC12" i="10"/>
  <c r="BB12" i="10"/>
  <c r="BA12" i="10"/>
  <c r="AZ12" i="10"/>
  <c r="AW12" i="10"/>
  <c r="AQ12" i="10"/>
  <c r="AE12" i="10"/>
  <c r="AA12" i="10"/>
  <c r="G12" i="10"/>
  <c r="DM12" i="10" s="1"/>
  <c r="DK11" i="10"/>
  <c r="DJ11" i="10"/>
  <c r="DI11" i="10"/>
  <c r="DH11" i="10"/>
  <c r="DG11" i="10"/>
  <c r="DF11" i="10"/>
  <c r="DE11" i="10"/>
  <c r="DD11" i="10"/>
  <c r="DC11" i="10"/>
  <c r="DB11" i="10"/>
  <c r="DA11" i="10"/>
  <c r="CZ11" i="10"/>
  <c r="CY11" i="10"/>
  <c r="CX11" i="10"/>
  <c r="CW11" i="10"/>
  <c r="CV11" i="10"/>
  <c r="CU11" i="10"/>
  <c r="CT11" i="10"/>
  <c r="CS11" i="10"/>
  <c r="CR11" i="10"/>
  <c r="CQ11" i="10" s="1"/>
  <c r="BU11" i="10"/>
  <c r="BS11" i="10"/>
  <c r="BR11" i="10"/>
  <c r="BQ11" i="10"/>
  <c r="BP11" i="10"/>
  <c r="BO11" i="10"/>
  <c r="BN11" i="10"/>
  <c r="BM11" i="10"/>
  <c r="BL11" i="10"/>
  <c r="BK11" i="10"/>
  <c r="BJ11" i="10"/>
  <c r="BI11" i="10"/>
  <c r="BH11" i="10"/>
  <c r="BG11" i="10"/>
  <c r="BF11" i="10"/>
  <c r="BE11" i="10"/>
  <c r="BD11" i="10"/>
  <c r="BB11" i="10"/>
  <c r="BA11" i="10"/>
  <c r="AZ11" i="10"/>
  <c r="AG11" i="10"/>
  <c r="G11" i="10"/>
  <c r="DM11" i="10" s="1"/>
  <c r="DM10" i="10"/>
  <c r="DK10" i="10"/>
  <c r="DJ10" i="10"/>
  <c r="DI10" i="10"/>
  <c r="DH10" i="10"/>
  <c r="DG10" i="10"/>
  <c r="DF10" i="10"/>
  <c r="DE10" i="10"/>
  <c r="DD10" i="10"/>
  <c r="DC10" i="10"/>
  <c r="DB10" i="10"/>
  <c r="DA10" i="10"/>
  <c r="CZ10" i="10"/>
  <c r="CY10" i="10"/>
  <c r="CX10" i="10"/>
  <c r="CW10" i="10"/>
  <c r="CV10" i="10"/>
  <c r="CU10" i="10"/>
  <c r="CT10" i="10"/>
  <c r="CR10" i="10"/>
  <c r="BW10" i="10"/>
  <c r="CS10" i="10" s="1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G24" i="10" s="1"/>
  <c r="BF10" i="10"/>
  <c r="BE10" i="10"/>
  <c r="BD10" i="10"/>
  <c r="BC10" i="10"/>
  <c r="BB10" i="10"/>
  <c r="AZ10" i="10"/>
  <c r="AE10" i="10"/>
  <c r="G10" i="10"/>
  <c r="DJ9" i="10"/>
  <c r="DJ120" i="10" s="1"/>
  <c r="DI9" i="10"/>
  <c r="DH9" i="10"/>
  <c r="DG9" i="10"/>
  <c r="DF9" i="10"/>
  <c r="DE9" i="10"/>
  <c r="DD9" i="10"/>
  <c r="DC9" i="10"/>
  <c r="DB9" i="10"/>
  <c r="DA9" i="10"/>
  <c r="CZ9" i="10"/>
  <c r="CY9" i="10"/>
  <c r="CX9" i="10"/>
  <c r="CW9" i="10"/>
  <c r="CV9" i="10"/>
  <c r="CT9" i="10"/>
  <c r="CR9" i="10"/>
  <c r="BY9" i="10"/>
  <c r="BW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B9" i="10"/>
  <c r="AZ9" i="10"/>
  <c r="AW9" i="10"/>
  <c r="AW120" i="10" s="1"/>
  <c r="AG9" i="10"/>
  <c r="BC9" i="10" s="1"/>
  <c r="AE9" i="10"/>
  <c r="AA9" i="10"/>
  <c r="AA120" i="10" s="1"/>
  <c r="I9" i="10"/>
  <c r="G9" i="10"/>
  <c r="DM9" i="10" s="1"/>
  <c r="DM8" i="10"/>
  <c r="DK8" i="10"/>
  <c r="DJ8" i="10"/>
  <c r="DI8" i="10"/>
  <c r="DH8" i="10"/>
  <c r="DG8" i="10"/>
  <c r="DG120" i="10" s="1"/>
  <c r="DF8" i="10"/>
  <c r="DE8" i="10"/>
  <c r="DD8" i="10"/>
  <c r="DD120" i="10" s="1"/>
  <c r="DC8" i="10"/>
  <c r="DB8" i="10"/>
  <c r="DA8" i="10"/>
  <c r="CZ8" i="10"/>
  <c r="CY8" i="10"/>
  <c r="CY120" i="10" s="1"/>
  <c r="CX8" i="10"/>
  <c r="CX120" i="10" s="1"/>
  <c r="CW8" i="10"/>
  <c r="CV8" i="10"/>
  <c r="CV120" i="10" s="1"/>
  <c r="CU8" i="10"/>
  <c r="CT8" i="10"/>
  <c r="CR8" i="10"/>
  <c r="BW8" i="10"/>
  <c r="BU8" i="10"/>
  <c r="BS8" i="10"/>
  <c r="BR8" i="10"/>
  <c r="BR120" i="10" s="1"/>
  <c r="BQ8" i="10"/>
  <c r="BP8" i="10"/>
  <c r="BO8" i="10"/>
  <c r="BN8" i="10"/>
  <c r="BM8" i="10"/>
  <c r="BL8" i="10"/>
  <c r="BL120" i="10" s="1"/>
  <c r="BK8" i="10"/>
  <c r="BJ8" i="10"/>
  <c r="BJ120" i="10" s="1"/>
  <c r="BI8" i="10"/>
  <c r="BH8" i="10"/>
  <c r="BG8" i="10"/>
  <c r="BF8" i="10"/>
  <c r="BE8" i="10"/>
  <c r="BD8" i="10"/>
  <c r="BD120" i="10" s="1"/>
  <c r="BC8" i="10"/>
  <c r="BB8" i="10"/>
  <c r="BB120" i="10" s="1"/>
  <c r="AZ8" i="10"/>
  <c r="AE8" i="10"/>
  <c r="BA8" i="10" s="1"/>
  <c r="I8" i="10"/>
  <c r="G8" i="10"/>
  <c r="DJ7" i="10"/>
  <c r="DI7" i="10"/>
  <c r="DH7" i="10"/>
  <c r="DG7" i="10"/>
  <c r="DF7" i="10"/>
  <c r="DE7" i="10"/>
  <c r="DD7" i="10"/>
  <c r="DC7" i="10"/>
  <c r="DB7" i="10"/>
  <c r="DA7" i="10"/>
  <c r="CZ7" i="10"/>
  <c r="CY7" i="10"/>
  <c r="CX7" i="10"/>
  <c r="CW7" i="10"/>
  <c r="CW24" i="10" s="1"/>
  <c r="CV7" i="10"/>
  <c r="CU7" i="10"/>
  <c r="CS7" i="10"/>
  <c r="CR7" i="10"/>
  <c r="CO7" i="10"/>
  <c r="BX7" i="10" s="1"/>
  <c r="BU7" i="10"/>
  <c r="BR7" i="10"/>
  <c r="BQ7" i="10"/>
  <c r="BP7" i="10"/>
  <c r="BP24" i="10" s="1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W7" i="10"/>
  <c r="AF7" i="10"/>
  <c r="AA7" i="10"/>
  <c r="G7" i="10"/>
  <c r="DM7" i="10" s="1"/>
  <c r="DJ6" i="10"/>
  <c r="DI6" i="10"/>
  <c r="DH6" i="10"/>
  <c r="DG6" i="10"/>
  <c r="DF6" i="10"/>
  <c r="DD6" i="10"/>
  <c r="DD24" i="10" s="1"/>
  <c r="DC6" i="10"/>
  <c r="DB6" i="10"/>
  <c r="DA6" i="10"/>
  <c r="CZ6" i="10"/>
  <c r="CY6" i="10"/>
  <c r="CX6" i="10"/>
  <c r="CW6" i="10"/>
  <c r="CV6" i="10"/>
  <c r="CU6" i="10"/>
  <c r="CT6" i="10"/>
  <c r="CR6" i="10"/>
  <c r="CI6" i="10"/>
  <c r="DE6" i="10" s="1"/>
  <c r="BW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W6" i="10"/>
  <c r="AQ6" i="10"/>
  <c r="AE6" i="10"/>
  <c r="AC6" i="10"/>
  <c r="AA6" i="10"/>
  <c r="DK5" i="10"/>
  <c r="DJ5" i="10"/>
  <c r="DI5" i="10"/>
  <c r="DI24" i="10" s="1"/>
  <c r="DH5" i="10"/>
  <c r="DG5" i="10"/>
  <c r="DF5" i="10"/>
  <c r="DE5" i="10"/>
  <c r="DD5" i="10"/>
  <c r="DC5" i="10"/>
  <c r="DB5" i="10"/>
  <c r="DA5" i="10"/>
  <c r="CZ5" i="10"/>
  <c r="CY5" i="10"/>
  <c r="CX5" i="10"/>
  <c r="CW5" i="10"/>
  <c r="CV5" i="10"/>
  <c r="CU5" i="10"/>
  <c r="CT5" i="10"/>
  <c r="CR5" i="10"/>
  <c r="CO5" i="10"/>
  <c r="CI5" i="10"/>
  <c r="BW5" i="10"/>
  <c r="CS5" i="10" s="1"/>
  <c r="BU5" i="10"/>
  <c r="BT5" i="10" s="1"/>
  <c r="CP5" i="10" s="1"/>
  <c r="BR5" i="10"/>
  <c r="BQ5" i="10"/>
  <c r="BQ24" i="10" s="1"/>
  <c r="BP5" i="10"/>
  <c r="BO5" i="10"/>
  <c r="BN5" i="10"/>
  <c r="BM5" i="10"/>
  <c r="BL5" i="10"/>
  <c r="BK5" i="10"/>
  <c r="BJ5" i="10"/>
  <c r="BI5" i="10"/>
  <c r="BI24" i="10" s="1"/>
  <c r="BH5" i="10"/>
  <c r="BG5" i="10"/>
  <c r="BF5" i="10"/>
  <c r="BE5" i="10"/>
  <c r="BE24" i="10" s="1"/>
  <c r="BD5" i="10"/>
  <c r="BC5" i="10"/>
  <c r="BB5" i="10"/>
  <c r="BA5" i="10"/>
  <c r="AZ5" i="10"/>
  <c r="AW5" i="10"/>
  <c r="BS5" i="10" s="1"/>
  <c r="AQ5" i="10"/>
  <c r="AE5" i="10"/>
  <c r="AA5" i="10"/>
  <c r="G5" i="10" s="1"/>
  <c r="DM5" i="10" s="1"/>
  <c r="DK4" i="10"/>
  <c r="DJ4" i="10"/>
  <c r="DI4" i="10"/>
  <c r="DH4" i="10"/>
  <c r="DG4" i="10"/>
  <c r="DF4" i="10"/>
  <c r="DD4" i="10"/>
  <c r="DC4" i="10"/>
  <c r="DB4" i="10"/>
  <c r="DA4" i="10"/>
  <c r="CZ4" i="10"/>
  <c r="CY4" i="10"/>
  <c r="CX4" i="10"/>
  <c r="CW4" i="10"/>
  <c r="CV4" i="10"/>
  <c r="CU4" i="10"/>
  <c r="CT4" i="10"/>
  <c r="CR4" i="10"/>
  <c r="CO4" i="10"/>
  <c r="CI4" i="10"/>
  <c r="DE4" i="10" s="1"/>
  <c r="BW4" i="10"/>
  <c r="CS4" i="10" s="1"/>
  <c r="BR4" i="10"/>
  <c r="BQ4" i="10"/>
  <c r="BP4" i="10"/>
  <c r="BO4" i="10"/>
  <c r="BN4" i="10"/>
  <c r="BL4" i="10"/>
  <c r="BK4" i="10"/>
  <c r="BJ4" i="10"/>
  <c r="BI4" i="10"/>
  <c r="BH4" i="10"/>
  <c r="BH122" i="10" s="1"/>
  <c r="BG4" i="10"/>
  <c r="BF4" i="10"/>
  <c r="BE4" i="10"/>
  <c r="BD4" i="10"/>
  <c r="BC4" i="10"/>
  <c r="BB4" i="10"/>
  <c r="BA4" i="10"/>
  <c r="AZ4" i="10"/>
  <c r="AZ122" i="10" s="1"/>
  <c r="AW4" i="10"/>
  <c r="AQ4" i="10"/>
  <c r="AE4" i="10"/>
  <c r="AA4" i="10"/>
  <c r="AA24" i="10" s="1"/>
  <c r="G4" i="10"/>
  <c r="CN126" i="9"/>
  <c r="CM126" i="9"/>
  <c r="CL126" i="9"/>
  <c r="CG126" i="9"/>
  <c r="CF126" i="9"/>
  <c r="CE126" i="9"/>
  <c r="CD126" i="9"/>
  <c r="CB126" i="9"/>
  <c r="CA126" i="9"/>
  <c r="BZ126" i="9"/>
  <c r="AV126" i="9"/>
  <c r="AU126" i="9"/>
  <c r="AT126" i="9"/>
  <c r="AO126" i="9"/>
  <c r="AN126" i="9"/>
  <c r="AM126" i="9"/>
  <c r="AL126" i="9"/>
  <c r="AK126" i="9"/>
  <c r="AJ126" i="9"/>
  <c r="AI126" i="9"/>
  <c r="AH126" i="9"/>
  <c r="Z126" i="9"/>
  <c r="Y126" i="9"/>
  <c r="W126" i="9"/>
  <c r="V126" i="9"/>
  <c r="U126" i="9"/>
  <c r="T126" i="9"/>
  <c r="S126" i="9"/>
  <c r="R126" i="9"/>
  <c r="Q126" i="9"/>
  <c r="P126" i="9"/>
  <c r="O126" i="9"/>
  <c r="N126" i="9"/>
  <c r="M126" i="9"/>
  <c r="L126" i="9"/>
  <c r="K126" i="9"/>
  <c r="J126" i="9"/>
  <c r="I126" i="9"/>
  <c r="CO124" i="9"/>
  <c r="CN124" i="9"/>
  <c r="CL124" i="9"/>
  <c r="CI124" i="9"/>
  <c r="CH124" i="9"/>
  <c r="CB124" i="9"/>
  <c r="CA124" i="9"/>
  <c r="BZ124" i="9"/>
  <c r="BY124" i="9"/>
  <c r="BX124" i="9"/>
  <c r="BW124" i="9"/>
  <c r="BV124" i="9"/>
  <c r="AW124" i="9"/>
  <c r="AT124" i="9"/>
  <c r="AS124" i="9"/>
  <c r="AR124" i="9"/>
  <c r="AP124" i="9"/>
  <c r="AO124" i="9"/>
  <c r="AN124" i="9"/>
  <c r="AM124" i="9"/>
  <c r="AL124" i="9"/>
  <c r="AK124" i="9"/>
  <c r="AJ124" i="9"/>
  <c r="AI124" i="9"/>
  <c r="AH124" i="9"/>
  <c r="AG124" i="9"/>
  <c r="AF124" i="9"/>
  <c r="AE124" i="9"/>
  <c r="AD124" i="9"/>
  <c r="AA124" i="9"/>
  <c r="Z124" i="9"/>
  <c r="U124" i="9"/>
  <c r="N124" i="9"/>
  <c r="K124" i="9"/>
  <c r="CN123" i="9"/>
  <c r="CM123" i="9"/>
  <c r="CL123" i="9"/>
  <c r="CK123" i="9"/>
  <c r="CH123" i="9"/>
  <c r="CF123" i="9"/>
  <c r="CE123" i="9"/>
  <c r="CD123" i="9"/>
  <c r="CB123" i="9"/>
  <c r="CA123" i="9"/>
  <c r="BZ123" i="9"/>
  <c r="BY123" i="9"/>
  <c r="BX123" i="9"/>
  <c r="BV123" i="9"/>
  <c r="AV123" i="9"/>
  <c r="AU123" i="9"/>
  <c r="AT123" i="9"/>
  <c r="AS123" i="9"/>
  <c r="AP123" i="9"/>
  <c r="AN123" i="9"/>
  <c r="AM123" i="9"/>
  <c r="AL123" i="9"/>
  <c r="AK123" i="9"/>
  <c r="AJ123" i="9"/>
  <c r="AI123" i="9"/>
  <c r="AH123" i="9"/>
  <c r="AG123" i="9"/>
  <c r="AF123" i="9"/>
  <c r="AD123" i="9"/>
  <c r="Z123" i="9"/>
  <c r="Y123" i="9"/>
  <c r="W123" i="9"/>
  <c r="U123" i="9"/>
  <c r="T123" i="9"/>
  <c r="R123" i="9"/>
  <c r="Q123" i="9"/>
  <c r="P123" i="9"/>
  <c r="O123" i="9"/>
  <c r="N123" i="9"/>
  <c r="M123" i="9"/>
  <c r="L123" i="9"/>
  <c r="K123" i="9"/>
  <c r="J123" i="9"/>
  <c r="H123" i="9"/>
  <c r="CN122" i="9"/>
  <c r="CM122" i="9"/>
  <c r="CL122" i="9"/>
  <c r="CK122" i="9"/>
  <c r="CH122" i="9"/>
  <c r="CG122" i="9"/>
  <c r="CF122" i="9"/>
  <c r="CE122" i="9"/>
  <c r="CD122" i="9"/>
  <c r="CB122" i="9"/>
  <c r="CA122" i="9"/>
  <c r="BZ122" i="9"/>
  <c r="BV122" i="9"/>
  <c r="AV122" i="9"/>
  <c r="AU122" i="9"/>
  <c r="AT122" i="9"/>
  <c r="AS122" i="9"/>
  <c r="AP122" i="9"/>
  <c r="AO122" i="9"/>
  <c r="AN122" i="9"/>
  <c r="AM122" i="9"/>
  <c r="AL122" i="9"/>
  <c r="AK122" i="9"/>
  <c r="AJ122" i="9"/>
  <c r="AI122" i="9"/>
  <c r="AH122" i="9"/>
  <c r="AD122" i="9"/>
  <c r="Z122" i="9"/>
  <c r="Y122" i="9"/>
  <c r="W122" i="9"/>
  <c r="V122" i="9"/>
  <c r="U122" i="9"/>
  <c r="T122" i="9"/>
  <c r="S122" i="9"/>
  <c r="R122" i="9"/>
  <c r="Q122" i="9"/>
  <c r="P122" i="9"/>
  <c r="O122" i="9"/>
  <c r="N122" i="9"/>
  <c r="M122" i="9"/>
  <c r="L122" i="9"/>
  <c r="K122" i="9"/>
  <c r="J122" i="9"/>
  <c r="H122" i="9"/>
  <c r="CN121" i="9"/>
  <c r="CM121" i="9"/>
  <c r="CK121" i="9"/>
  <c r="CI121" i="9"/>
  <c r="CH121" i="9"/>
  <c r="CF121" i="9"/>
  <c r="CE121" i="9"/>
  <c r="CD121" i="9"/>
  <c r="CB121" i="9"/>
  <c r="CA121" i="9"/>
  <c r="BZ121" i="9"/>
  <c r="BV121" i="9"/>
  <c r="AV121" i="9"/>
  <c r="AU121" i="9"/>
  <c r="AS121" i="9"/>
  <c r="AQ121" i="9"/>
  <c r="AP121" i="9"/>
  <c r="AN121" i="9"/>
  <c r="AM121" i="9"/>
  <c r="AL121" i="9"/>
  <c r="AK121" i="9"/>
  <c r="AJ121" i="9"/>
  <c r="AI121" i="9"/>
  <c r="AH121" i="9"/>
  <c r="AD121" i="9"/>
  <c r="Z121" i="9"/>
  <c r="Y121" i="9"/>
  <c r="W121" i="9"/>
  <c r="U121" i="9"/>
  <c r="T121" i="9"/>
  <c r="R121" i="9"/>
  <c r="Q121" i="9"/>
  <c r="P121" i="9"/>
  <c r="O121" i="9"/>
  <c r="N121" i="9"/>
  <c r="M121" i="9"/>
  <c r="L121" i="9"/>
  <c r="J121" i="9"/>
  <c r="H121" i="9"/>
  <c r="CN120" i="9"/>
  <c r="CM120" i="9"/>
  <c r="CL120" i="9"/>
  <c r="CK120" i="9"/>
  <c r="CI120" i="9"/>
  <c r="CH120" i="9"/>
  <c r="CG120" i="9"/>
  <c r="CF120" i="9"/>
  <c r="CE120" i="9"/>
  <c r="CD120" i="9"/>
  <c r="CB120" i="9"/>
  <c r="CA120" i="9"/>
  <c r="BZ120" i="9"/>
  <c r="BX120" i="9"/>
  <c r="BV120" i="9"/>
  <c r="AV120" i="9"/>
  <c r="AU120" i="9"/>
  <c r="AT120" i="9"/>
  <c r="AS120" i="9"/>
  <c r="AQ120" i="9"/>
  <c r="AP120" i="9"/>
  <c r="AO120" i="9"/>
  <c r="AN120" i="9"/>
  <c r="AM120" i="9"/>
  <c r="AL120" i="9"/>
  <c r="AK120" i="9"/>
  <c r="AJ120" i="9"/>
  <c r="AI120" i="9"/>
  <c r="AH120" i="9"/>
  <c r="AF120" i="9"/>
  <c r="AD120" i="9"/>
  <c r="Z120" i="9"/>
  <c r="Y120" i="9"/>
  <c r="W120" i="9"/>
  <c r="V120" i="9"/>
  <c r="U120" i="9"/>
  <c r="T120" i="9"/>
  <c r="S120" i="9"/>
  <c r="R120" i="9"/>
  <c r="Q120" i="9"/>
  <c r="P120" i="9"/>
  <c r="O120" i="9"/>
  <c r="N120" i="9"/>
  <c r="M120" i="9"/>
  <c r="L120" i="9"/>
  <c r="K120" i="9"/>
  <c r="J120" i="9"/>
  <c r="H120" i="9"/>
  <c r="CN119" i="9"/>
  <c r="CM119" i="9"/>
  <c r="CL119" i="9"/>
  <c r="CK119" i="9"/>
  <c r="CI119" i="9"/>
  <c r="CG119" i="9"/>
  <c r="CE119" i="9"/>
  <c r="CD119" i="9"/>
  <c r="CB119" i="9"/>
  <c r="BV119" i="9"/>
  <c r="AV119" i="9"/>
  <c r="AU119" i="9"/>
  <c r="AT119" i="9"/>
  <c r="AS119" i="9"/>
  <c r="AO119" i="9"/>
  <c r="AM119" i="9"/>
  <c r="AL119" i="9"/>
  <c r="AK119" i="9"/>
  <c r="AJ119" i="9"/>
  <c r="AG119" i="9"/>
  <c r="AD119" i="9"/>
  <c r="Z119" i="9"/>
  <c r="Y119" i="9"/>
  <c r="W119" i="9"/>
  <c r="U119" i="9"/>
  <c r="T119" i="9"/>
  <c r="S119" i="9"/>
  <c r="R119" i="9"/>
  <c r="Q119" i="9"/>
  <c r="P119" i="9"/>
  <c r="O119" i="9"/>
  <c r="N119" i="9"/>
  <c r="M119" i="9"/>
  <c r="L119" i="9"/>
  <c r="K119" i="9"/>
  <c r="I119" i="9"/>
  <c r="H119" i="9"/>
  <c r="CN118" i="9"/>
  <c r="CM118" i="9"/>
  <c r="CL118" i="9"/>
  <c r="CK118" i="9"/>
  <c r="CG118" i="9"/>
  <c r="CF118" i="9"/>
  <c r="CE118" i="9"/>
  <c r="CA118" i="9"/>
  <c r="BZ118" i="9"/>
  <c r="BW118" i="9"/>
  <c r="BV118" i="9"/>
  <c r="AV118" i="9"/>
  <c r="AU118" i="9"/>
  <c r="AT118" i="9"/>
  <c r="AS118" i="9"/>
  <c r="AO118" i="9"/>
  <c r="AN118" i="9"/>
  <c r="AM118" i="9"/>
  <c r="AI118" i="9"/>
  <c r="AH118" i="9"/>
  <c r="AE118" i="9"/>
  <c r="Z118" i="9"/>
  <c r="Y118" i="9"/>
  <c r="W118" i="9"/>
  <c r="T118" i="9"/>
  <c r="S118" i="9"/>
  <c r="R118" i="9"/>
  <c r="Q118" i="9"/>
  <c r="P118" i="9"/>
  <c r="O118" i="9"/>
  <c r="N118" i="9"/>
  <c r="M118" i="9"/>
  <c r="L118" i="9"/>
  <c r="K118" i="9"/>
  <c r="J118" i="9"/>
  <c r="I118" i="9"/>
  <c r="H118" i="9"/>
  <c r="CK114" i="9"/>
  <c r="CG114" i="9"/>
  <c r="CE114" i="9"/>
  <c r="BV114" i="9"/>
  <c r="AT114" i="9"/>
  <c r="AS114" i="9"/>
  <c r="AO114" i="9"/>
  <c r="AM114" i="9"/>
  <c r="Z114" i="9"/>
  <c r="X114" i="9"/>
  <c r="W114" i="9"/>
  <c r="T114" i="9"/>
  <c r="S114" i="9"/>
  <c r="R114" i="9"/>
  <c r="Q114" i="9"/>
  <c r="P114" i="9"/>
  <c r="O114" i="9"/>
  <c r="N114" i="9"/>
  <c r="M114" i="9"/>
  <c r="L114" i="9"/>
  <c r="K114" i="9"/>
  <c r="H114" i="9"/>
  <c r="DJ113" i="9"/>
  <c r="DI113" i="9"/>
  <c r="DH113" i="9"/>
  <c r="DG113" i="9"/>
  <c r="DE113" i="9"/>
  <c r="DD113" i="9"/>
  <c r="DC113" i="9"/>
  <c r="DB113" i="9"/>
  <c r="DA113" i="9"/>
  <c r="CZ113" i="9"/>
  <c r="CY113" i="9"/>
  <c r="CX113" i="9"/>
  <c r="CW113" i="9"/>
  <c r="CV113" i="9"/>
  <c r="CU113" i="9"/>
  <c r="CT113" i="9"/>
  <c r="CS113" i="9"/>
  <c r="CR113" i="9"/>
  <c r="CO113" i="9"/>
  <c r="CJ113" i="9" s="1"/>
  <c r="CJ120" i="9" s="1"/>
  <c r="BR113" i="9"/>
  <c r="BQ113" i="9"/>
  <c r="BP113" i="9"/>
  <c r="BO113" i="9"/>
  <c r="BM113" i="9"/>
  <c r="BL113" i="9"/>
  <c r="BK113" i="9"/>
  <c r="BJ113" i="9"/>
  <c r="BI113" i="9"/>
  <c r="BH113" i="9"/>
  <c r="BG113" i="9"/>
  <c r="BF113" i="9"/>
  <c r="BE113" i="9"/>
  <c r="BD113" i="9"/>
  <c r="BC113" i="9"/>
  <c r="BB113" i="9"/>
  <c r="BA113" i="9"/>
  <c r="AZ113" i="9"/>
  <c r="AW113" i="9"/>
  <c r="BS113" i="9" s="1"/>
  <c r="AR113" i="9"/>
  <c r="AC113" i="9" s="1"/>
  <c r="AA113" i="9"/>
  <c r="DK112" i="9"/>
  <c r="DJ112" i="9"/>
  <c r="DI112" i="9"/>
  <c r="DH112" i="9"/>
  <c r="DG112" i="9"/>
  <c r="DF112" i="9"/>
  <c r="DE112" i="9"/>
  <c r="DD112" i="9"/>
  <c r="DC112" i="9"/>
  <c r="DB112" i="9"/>
  <c r="DA112" i="9"/>
  <c r="CZ112" i="9"/>
  <c r="CY112" i="9"/>
  <c r="CX112" i="9"/>
  <c r="CW112" i="9"/>
  <c r="CV112" i="9"/>
  <c r="CU112" i="9"/>
  <c r="CT112" i="9"/>
  <c r="CS112" i="9"/>
  <c r="CR112" i="9"/>
  <c r="CJ112" i="9"/>
  <c r="CJ122" i="9" s="1"/>
  <c r="BU112" i="9"/>
  <c r="BS112" i="9"/>
  <c r="BR112" i="9"/>
  <c r="BQ112" i="9"/>
  <c r="BP112" i="9"/>
  <c r="BO112" i="9"/>
  <c r="BM112" i="9"/>
  <c r="BL112" i="9"/>
  <c r="BK112" i="9"/>
  <c r="BJ112" i="9"/>
  <c r="BI112" i="9"/>
  <c r="BH112" i="9"/>
  <c r="BG112" i="9"/>
  <c r="BF112" i="9"/>
  <c r="BE112" i="9"/>
  <c r="BD112" i="9"/>
  <c r="BC112" i="9"/>
  <c r="BB112" i="9"/>
  <c r="BA112" i="9"/>
  <c r="AZ112" i="9"/>
  <c r="AR112" i="9"/>
  <c r="AC112" i="9" s="1"/>
  <c r="G112" i="9"/>
  <c r="DJ111" i="9"/>
  <c r="DI111" i="9"/>
  <c r="DH111" i="9"/>
  <c r="DG111" i="9"/>
  <c r="DF111" i="9"/>
  <c r="DE111" i="9"/>
  <c r="DD111" i="9"/>
  <c r="DC111" i="9"/>
  <c r="DB111" i="9"/>
  <c r="DA111" i="9"/>
  <c r="CZ111" i="9"/>
  <c r="CY111" i="9"/>
  <c r="CX111" i="9"/>
  <c r="CW111" i="9"/>
  <c r="CV111" i="9"/>
  <c r="CU111" i="9"/>
  <c r="CT111" i="9"/>
  <c r="CS111" i="9"/>
  <c r="CR111" i="9"/>
  <c r="BU111" i="9"/>
  <c r="BR111" i="9"/>
  <c r="BQ111" i="9"/>
  <c r="BP111" i="9"/>
  <c r="BO111" i="9"/>
  <c r="BN111" i="9"/>
  <c r="BM111" i="9"/>
  <c r="BL111" i="9"/>
  <c r="BK111" i="9"/>
  <c r="BJ111" i="9"/>
  <c r="BI111" i="9"/>
  <c r="BH111" i="9"/>
  <c r="BG111" i="9"/>
  <c r="BF111" i="9"/>
  <c r="BE111" i="9"/>
  <c r="BD111" i="9"/>
  <c r="BC111" i="9"/>
  <c r="BB111" i="9"/>
  <c r="BA111" i="9"/>
  <c r="AZ111" i="9"/>
  <c r="AC111" i="9"/>
  <c r="AA111" i="9"/>
  <c r="DK110" i="9"/>
  <c r="DJ110" i="9"/>
  <c r="DI110" i="9"/>
  <c r="DH110" i="9"/>
  <c r="DG110" i="9"/>
  <c r="DF110" i="9"/>
  <c r="DE110" i="9"/>
  <c r="DD110" i="9"/>
  <c r="DC110" i="9"/>
  <c r="DB110" i="9"/>
  <c r="DA110" i="9"/>
  <c r="CZ110" i="9"/>
  <c r="CY110" i="9"/>
  <c r="CX110" i="9"/>
  <c r="CW110" i="9"/>
  <c r="CV110" i="9"/>
  <c r="CU110" i="9"/>
  <c r="CT110" i="9"/>
  <c r="CR110" i="9"/>
  <c r="BW110" i="9"/>
  <c r="BU110" i="9" s="1"/>
  <c r="BS110" i="9"/>
  <c r="BR110" i="9"/>
  <c r="BQ110" i="9"/>
  <c r="BP110" i="9"/>
  <c r="BO110" i="9"/>
  <c r="BN110" i="9"/>
  <c r="BM110" i="9"/>
  <c r="BL110" i="9"/>
  <c r="BK110" i="9"/>
  <c r="BJ110" i="9"/>
  <c r="BI110" i="9"/>
  <c r="BH110" i="9"/>
  <c r="BG110" i="9"/>
  <c r="BF110" i="9"/>
  <c r="BE110" i="9"/>
  <c r="BD110" i="9"/>
  <c r="BC110" i="9"/>
  <c r="BB110" i="9"/>
  <c r="AZ110" i="9"/>
  <c r="AE110" i="9"/>
  <c r="AC110" i="9" s="1"/>
  <c r="I110" i="9"/>
  <c r="DK109" i="9"/>
  <c r="DJ109" i="9"/>
  <c r="DI109" i="9"/>
  <c r="DH109" i="9"/>
  <c r="DG109" i="9"/>
  <c r="DF109" i="9"/>
  <c r="DE109" i="9"/>
  <c r="DD109" i="9"/>
  <c r="DC109" i="9"/>
  <c r="DB109" i="9"/>
  <c r="DA109" i="9"/>
  <c r="CZ109" i="9"/>
  <c r="CY109" i="9"/>
  <c r="CX109" i="9"/>
  <c r="CW109" i="9"/>
  <c r="CV109" i="9"/>
  <c r="CU109" i="9"/>
  <c r="CT109" i="9"/>
  <c r="CR109" i="9"/>
  <c r="BW109" i="9"/>
  <c r="BS109" i="9"/>
  <c r="BR109" i="9"/>
  <c r="BQ109" i="9"/>
  <c r="BP109" i="9"/>
  <c r="BO109" i="9"/>
  <c r="BN109" i="9"/>
  <c r="BM109" i="9"/>
  <c r="BL109" i="9"/>
  <c r="BK109" i="9"/>
  <c r="BJ109" i="9"/>
  <c r="BI109" i="9"/>
  <c r="BH109" i="9"/>
  <c r="BG109" i="9"/>
  <c r="BF109" i="9"/>
  <c r="BE109" i="9"/>
  <c r="BD109" i="9"/>
  <c r="BC109" i="9"/>
  <c r="BB109" i="9"/>
  <c r="AZ109" i="9"/>
  <c r="AE109" i="9"/>
  <c r="G109" i="9"/>
  <c r="DK108" i="9"/>
  <c r="DJ108" i="9"/>
  <c r="DI108" i="9"/>
  <c r="DH108" i="9"/>
  <c r="DG108" i="9"/>
  <c r="DF108" i="9"/>
  <c r="DE108" i="9"/>
  <c r="DD108" i="9"/>
  <c r="DC108" i="9"/>
  <c r="DB108" i="9"/>
  <c r="DA108" i="9"/>
  <c r="CZ108" i="9"/>
  <c r="CY108" i="9"/>
  <c r="CX108" i="9"/>
  <c r="CW108" i="9"/>
  <c r="CV108" i="9"/>
  <c r="CU108" i="9"/>
  <c r="CT108" i="9"/>
  <c r="CR108" i="9"/>
  <c r="BW108" i="9"/>
  <c r="BU108" i="9"/>
  <c r="BS108" i="9"/>
  <c r="BR108" i="9"/>
  <c r="BQ108" i="9"/>
  <c r="BP108" i="9"/>
  <c r="BO108" i="9"/>
  <c r="BN108" i="9"/>
  <c r="BM108" i="9"/>
  <c r="BL108" i="9"/>
  <c r="BK108" i="9"/>
  <c r="BJ108" i="9"/>
  <c r="BI108" i="9"/>
  <c r="BH108" i="9"/>
  <c r="BG108" i="9"/>
  <c r="BF108" i="9"/>
  <c r="BE108" i="9"/>
  <c r="BD108" i="9"/>
  <c r="BC108" i="9"/>
  <c r="BB108" i="9"/>
  <c r="AZ108" i="9"/>
  <c r="AE108" i="9"/>
  <c r="AC108" i="9" s="1"/>
  <c r="I108" i="9"/>
  <c r="G108" i="9"/>
  <c r="DK107" i="9"/>
  <c r="DK124" i="9" s="1"/>
  <c r="DJ107" i="9"/>
  <c r="DJ124" i="9" s="1"/>
  <c r="DH107" i="9"/>
  <c r="DH124" i="9" s="1"/>
  <c r="DG107" i="9"/>
  <c r="DF107" i="9"/>
  <c r="DE107" i="9"/>
  <c r="DE124" i="9" s="1"/>
  <c r="DD107" i="9"/>
  <c r="DC107" i="9"/>
  <c r="DB107" i="9"/>
  <c r="DA107" i="9"/>
  <c r="CZ107" i="9"/>
  <c r="CY107" i="9"/>
  <c r="CX107" i="9"/>
  <c r="CW107" i="9"/>
  <c r="CV107" i="9"/>
  <c r="CU107" i="9"/>
  <c r="CT107" i="9"/>
  <c r="CS107" i="9"/>
  <c r="CR107" i="9"/>
  <c r="CN107" i="9"/>
  <c r="CN114" i="9" s="1"/>
  <c r="CM107" i="9"/>
  <c r="CM124" i="9" s="1"/>
  <c r="BU107" i="9"/>
  <c r="BS107" i="9"/>
  <c r="BS124" i="9" s="1"/>
  <c r="BP107" i="9"/>
  <c r="BP124" i="9" s="1"/>
  <c r="BO107" i="9"/>
  <c r="BN107" i="9"/>
  <c r="BL107" i="9"/>
  <c r="BK107" i="9"/>
  <c r="BJ107" i="9"/>
  <c r="BI107" i="9"/>
  <c r="BH107" i="9"/>
  <c r="BG107" i="9"/>
  <c r="BF107" i="9"/>
  <c r="BE107" i="9"/>
  <c r="BD107" i="9"/>
  <c r="BC107" i="9"/>
  <c r="BC124" i="9" s="1"/>
  <c r="BB107" i="9"/>
  <c r="BA107" i="9"/>
  <c r="AZ107" i="9"/>
  <c r="AV107" i="9"/>
  <c r="AU107" i="9"/>
  <c r="AQ107" i="9"/>
  <c r="AQ124" i="9" s="1"/>
  <c r="Y107" i="9"/>
  <c r="G107" i="9"/>
  <c r="G124" i="9" s="1"/>
  <c r="DK106" i="9"/>
  <c r="DJ106" i="9"/>
  <c r="DI106" i="9"/>
  <c r="DH106" i="9"/>
  <c r="DG106" i="9"/>
  <c r="DE106" i="9"/>
  <c r="DD106" i="9"/>
  <c r="DC106" i="9"/>
  <c r="DB106" i="9"/>
  <c r="DA106" i="9"/>
  <c r="CZ106" i="9"/>
  <c r="CY106" i="9"/>
  <c r="CX106" i="9"/>
  <c r="CW106" i="9"/>
  <c r="CV106" i="9"/>
  <c r="CU106" i="9"/>
  <c r="CT106" i="9"/>
  <c r="CR106" i="9"/>
  <c r="BW106" i="9"/>
  <c r="CJ106" i="9" s="1"/>
  <c r="BS106" i="9"/>
  <c r="BR106" i="9"/>
  <c r="BQ106" i="9"/>
  <c r="BP106" i="9"/>
  <c r="BO106" i="9"/>
  <c r="BM106" i="9"/>
  <c r="BL106" i="9"/>
  <c r="BK106" i="9"/>
  <c r="BJ106" i="9"/>
  <c r="BI106" i="9"/>
  <c r="BH106" i="9"/>
  <c r="BG106" i="9"/>
  <c r="BF106" i="9"/>
  <c r="BE106" i="9"/>
  <c r="BD106" i="9"/>
  <c r="BC106" i="9"/>
  <c r="BB106" i="9"/>
  <c r="AZ106" i="9"/>
  <c r="AR106" i="9"/>
  <c r="AE106" i="9"/>
  <c r="V106" i="9"/>
  <c r="V119" i="9" s="1"/>
  <c r="DJ105" i="9"/>
  <c r="DI105" i="9"/>
  <c r="DH105" i="9"/>
  <c r="DG105" i="9"/>
  <c r="DF105" i="9"/>
  <c r="DE105" i="9"/>
  <c r="DD105" i="9"/>
  <c r="DC105" i="9"/>
  <c r="DB105" i="9"/>
  <c r="DA105" i="9"/>
  <c r="CZ105" i="9"/>
  <c r="CY105" i="9"/>
  <c r="CX105" i="9"/>
  <c r="CW105" i="9"/>
  <c r="CV105" i="9"/>
  <c r="CU105" i="9"/>
  <c r="CS105" i="9"/>
  <c r="CR105" i="9"/>
  <c r="BX105" i="9"/>
  <c r="BU105" i="9" s="1"/>
  <c r="BR105" i="9"/>
  <c r="BQ105" i="9"/>
  <c r="BP105" i="9"/>
  <c r="BO105" i="9"/>
  <c r="BN105" i="9"/>
  <c r="BM105" i="9"/>
  <c r="BL105" i="9"/>
  <c r="BK105" i="9"/>
  <c r="BJ105" i="9"/>
  <c r="BI105" i="9"/>
  <c r="BH105" i="9"/>
  <c r="BG105" i="9"/>
  <c r="BF105" i="9"/>
  <c r="BE105" i="9"/>
  <c r="BD105" i="9"/>
  <c r="BC105" i="9"/>
  <c r="BB105" i="9"/>
  <c r="BA105" i="9"/>
  <c r="AZ105" i="9"/>
  <c r="AF105" i="9"/>
  <c r="AC105" i="9" s="1"/>
  <c r="AA105" i="9"/>
  <c r="J105" i="9"/>
  <c r="DJ104" i="9"/>
  <c r="DI104" i="9"/>
  <c r="DH104" i="9"/>
  <c r="DG104" i="9"/>
  <c r="DF104" i="9"/>
  <c r="DE104" i="9"/>
  <c r="DD104" i="9"/>
  <c r="DC104" i="9"/>
  <c r="DB104" i="9"/>
  <c r="DA104" i="9"/>
  <c r="CZ104" i="9"/>
  <c r="CY104" i="9"/>
  <c r="CX104" i="9"/>
  <c r="CW104" i="9"/>
  <c r="CV104" i="9"/>
  <c r="CU104" i="9"/>
  <c r="CT104" i="9"/>
  <c r="CS104" i="9"/>
  <c r="CR104" i="9"/>
  <c r="CO104" i="9"/>
  <c r="BU104" i="9" s="1"/>
  <c r="BR104" i="9"/>
  <c r="BQ104" i="9"/>
  <c r="BP104" i="9"/>
  <c r="BO104" i="9"/>
  <c r="BN104" i="9"/>
  <c r="BM104" i="9"/>
  <c r="BL104" i="9"/>
  <c r="BK104" i="9"/>
  <c r="BJ104" i="9"/>
  <c r="BI104" i="9"/>
  <c r="BH104" i="9"/>
  <c r="BG104" i="9"/>
  <c r="BF104" i="9"/>
  <c r="BE104" i="9"/>
  <c r="BD104" i="9"/>
  <c r="BC104" i="9"/>
  <c r="BB104" i="9"/>
  <c r="BA104" i="9"/>
  <c r="AZ104" i="9"/>
  <c r="AW104" i="9"/>
  <c r="AC104" i="9" s="1"/>
  <c r="AA104" i="9"/>
  <c r="G104" i="9" s="1"/>
  <c r="DJ103" i="9"/>
  <c r="DI103" i="9"/>
  <c r="DH103" i="9"/>
  <c r="DG103" i="9"/>
  <c r="DF103" i="9"/>
  <c r="DE103" i="9"/>
  <c r="DC103" i="9"/>
  <c r="DB103" i="9"/>
  <c r="DA103" i="9"/>
  <c r="CZ103" i="9"/>
  <c r="CY103" i="9"/>
  <c r="CX103" i="9"/>
  <c r="CW103" i="9"/>
  <c r="CV103" i="9"/>
  <c r="CU103" i="9"/>
  <c r="CT103" i="9"/>
  <c r="CS103" i="9"/>
  <c r="CR103" i="9"/>
  <c r="CH103" i="9"/>
  <c r="BR103" i="9"/>
  <c r="BQ103" i="9"/>
  <c r="BP103" i="9"/>
  <c r="BO103" i="9"/>
  <c r="BN103" i="9"/>
  <c r="BM103" i="9"/>
  <c r="BK103" i="9"/>
  <c r="BJ103" i="9"/>
  <c r="BI103" i="9"/>
  <c r="BH103" i="9"/>
  <c r="BG103" i="9"/>
  <c r="BF103" i="9"/>
  <c r="BE103" i="9"/>
  <c r="BD103" i="9"/>
  <c r="BC103" i="9"/>
  <c r="BB103" i="9"/>
  <c r="BA103" i="9"/>
  <c r="AZ103" i="9"/>
  <c r="AW103" i="9"/>
  <c r="AP103" i="9"/>
  <c r="AP119" i="9" s="1"/>
  <c r="AA103" i="9"/>
  <c r="DJ102" i="9"/>
  <c r="DI102" i="9"/>
  <c r="DH102" i="9"/>
  <c r="DG102" i="9"/>
  <c r="DF102" i="9"/>
  <c r="DE102" i="9"/>
  <c r="DD102" i="9"/>
  <c r="DC102" i="9"/>
  <c r="DB102" i="9"/>
  <c r="DA102" i="9"/>
  <c r="CZ102" i="9"/>
  <c r="CY102" i="9"/>
  <c r="CX102" i="9"/>
  <c r="CV102" i="9"/>
  <c r="CU102" i="9"/>
  <c r="CT102" i="9"/>
  <c r="CS102" i="9"/>
  <c r="CR102" i="9"/>
  <c r="CO102" i="9"/>
  <c r="BU102" i="9" s="1"/>
  <c r="CA102" i="9"/>
  <c r="CA119" i="9" s="1"/>
  <c r="BR102" i="9"/>
  <c r="BQ102" i="9"/>
  <c r="BP102" i="9"/>
  <c r="BO102" i="9"/>
  <c r="BN102" i="9"/>
  <c r="BM102" i="9"/>
  <c r="BL102" i="9"/>
  <c r="BK102" i="9"/>
  <c r="BJ102" i="9"/>
  <c r="BI102" i="9"/>
  <c r="BH102" i="9"/>
  <c r="BG102" i="9"/>
  <c r="BF102" i="9"/>
  <c r="BD102" i="9"/>
  <c r="BC102" i="9"/>
  <c r="BB102" i="9"/>
  <c r="BA102" i="9"/>
  <c r="AZ102" i="9"/>
  <c r="AW102" i="9"/>
  <c r="AI102" i="9"/>
  <c r="AA102" i="9"/>
  <c r="DJ101" i="9"/>
  <c r="DI101" i="9"/>
  <c r="DH101" i="9"/>
  <c r="DG101" i="9"/>
  <c r="DE101" i="9"/>
  <c r="DD101" i="9"/>
  <c r="DC101" i="9"/>
  <c r="DB101" i="9"/>
  <c r="DA101" i="9"/>
  <c r="CZ101" i="9"/>
  <c r="CY101" i="9"/>
  <c r="CX101" i="9"/>
  <c r="CW101" i="9"/>
  <c r="CV101" i="9"/>
  <c r="CU101" i="9"/>
  <c r="CS101" i="9"/>
  <c r="CR101" i="9"/>
  <c r="CJ101" i="9"/>
  <c r="BX101" i="9"/>
  <c r="CT101" i="9" s="1"/>
  <c r="BR101" i="9"/>
  <c r="BQ101" i="9"/>
  <c r="BP101" i="9"/>
  <c r="BO101" i="9"/>
  <c r="BL101" i="9"/>
  <c r="BK101" i="9"/>
  <c r="BJ101" i="9"/>
  <c r="BI101" i="9"/>
  <c r="BH101" i="9"/>
  <c r="BG101" i="9"/>
  <c r="BF101" i="9"/>
  <c r="BE101" i="9"/>
  <c r="BD101" i="9"/>
  <c r="BC101" i="9"/>
  <c r="BA101" i="9"/>
  <c r="AZ101" i="9"/>
  <c r="AW101" i="9"/>
  <c r="AW119" i="9" s="1"/>
  <c r="AR101" i="9"/>
  <c r="AQ101" i="9"/>
  <c r="BM101" i="9" s="1"/>
  <c r="AF101" i="9"/>
  <c r="AA101" i="9"/>
  <c r="V101" i="9"/>
  <c r="DJ100" i="9"/>
  <c r="DI100" i="9"/>
  <c r="DH100" i="9"/>
  <c r="DG100" i="9"/>
  <c r="DF100" i="9"/>
  <c r="DE100" i="9"/>
  <c r="DD100" i="9"/>
  <c r="DC100" i="9"/>
  <c r="DA100" i="9"/>
  <c r="CZ100" i="9"/>
  <c r="CY100" i="9"/>
  <c r="CX100" i="9"/>
  <c r="CW100" i="9"/>
  <c r="CS100" i="9"/>
  <c r="CR100" i="9"/>
  <c r="CF100" i="9"/>
  <c r="BZ100" i="9"/>
  <c r="BY100" i="9"/>
  <c r="CU100" i="9" s="1"/>
  <c r="BR100" i="9"/>
  <c r="BQ100" i="9"/>
  <c r="BP100" i="9"/>
  <c r="BO100" i="9"/>
  <c r="BN100" i="9"/>
  <c r="BL100" i="9"/>
  <c r="BK100" i="9"/>
  <c r="BI100" i="9"/>
  <c r="BH100" i="9"/>
  <c r="BG100" i="9"/>
  <c r="BF100" i="9"/>
  <c r="BE100" i="9"/>
  <c r="BC100" i="9"/>
  <c r="BA100" i="9"/>
  <c r="AZ100" i="9"/>
  <c r="AW100" i="9"/>
  <c r="AQ100" i="9"/>
  <c r="AN100" i="9"/>
  <c r="AH100" i="9"/>
  <c r="AH119" i="9" s="1"/>
  <c r="AF100" i="9"/>
  <c r="AA100" i="9"/>
  <c r="DK100" i="9" s="1"/>
  <c r="V100" i="9"/>
  <c r="J100" i="9"/>
  <c r="G100" i="9"/>
  <c r="DJ99" i="9"/>
  <c r="DI99" i="9"/>
  <c r="DH99" i="9"/>
  <c r="DG99" i="9"/>
  <c r="DE99" i="9"/>
  <c r="DC99" i="9"/>
  <c r="DB99" i="9"/>
  <c r="DA99" i="9"/>
  <c r="CW99" i="9"/>
  <c r="CV99" i="9"/>
  <c r="CS99" i="9"/>
  <c r="CR99" i="9"/>
  <c r="CR118" i="9" s="1"/>
  <c r="CO99" i="9"/>
  <c r="CO118" i="9" s="1"/>
  <c r="CJ99" i="9"/>
  <c r="CJ118" i="9" s="1"/>
  <c r="CH99" i="9"/>
  <c r="DD99" i="9" s="1"/>
  <c r="CD99" i="9"/>
  <c r="CC99" i="9"/>
  <c r="CC118" i="9" s="1"/>
  <c r="CC125" i="9" s="1"/>
  <c r="CC127" i="9" s="1"/>
  <c r="CB99" i="9"/>
  <c r="BY99" i="9"/>
  <c r="BX99" i="9"/>
  <c r="BX118" i="9" s="1"/>
  <c r="BR99" i="9"/>
  <c r="BQ99" i="9"/>
  <c r="BP99" i="9"/>
  <c r="BO99" i="9"/>
  <c r="BK99" i="9"/>
  <c r="BJ99" i="9"/>
  <c r="BI99" i="9"/>
  <c r="BE99" i="9"/>
  <c r="BD99" i="9"/>
  <c r="BA99" i="9"/>
  <c r="AW99" i="9"/>
  <c r="AW118" i="9" s="1"/>
  <c r="AR99" i="9"/>
  <c r="AQ99" i="9"/>
  <c r="BM99" i="9" s="1"/>
  <c r="AP99" i="9"/>
  <c r="AL99" i="9"/>
  <c r="AL114" i="9" s="1"/>
  <c r="AK99" i="9"/>
  <c r="AJ99" i="9"/>
  <c r="AG99" i="9"/>
  <c r="AD99" i="9"/>
  <c r="AD114" i="9" s="1"/>
  <c r="AA99" i="9"/>
  <c r="G99" i="9" s="1"/>
  <c r="V99" i="9"/>
  <c r="V118" i="9" s="1"/>
  <c r="DJ98" i="9"/>
  <c r="DI98" i="9"/>
  <c r="DH98" i="9"/>
  <c r="DH118" i="9" s="1"/>
  <c r="DG98" i="9"/>
  <c r="DG118" i="9" s="1"/>
  <c r="DF98" i="9"/>
  <c r="DD98" i="9"/>
  <c r="DC98" i="9"/>
  <c r="DB98" i="9"/>
  <c r="DA98" i="9"/>
  <c r="CZ98" i="9"/>
  <c r="CY98" i="9"/>
  <c r="CX98" i="9"/>
  <c r="CW98" i="9"/>
  <c r="CW118" i="9" s="1"/>
  <c r="CV98" i="9"/>
  <c r="CV118" i="9" s="1"/>
  <c r="CU98" i="9"/>
  <c r="CT98" i="9"/>
  <c r="CS98" i="9"/>
  <c r="CR98" i="9"/>
  <c r="CI98" i="9"/>
  <c r="CI118" i="9" s="1"/>
  <c r="BU98" i="9"/>
  <c r="BR98" i="9"/>
  <c r="BR118" i="9" s="1"/>
  <c r="BQ98" i="9"/>
  <c r="BP98" i="9"/>
  <c r="BO98" i="9"/>
  <c r="BN98" i="9"/>
  <c r="BM98" i="9"/>
  <c r="BL98" i="9"/>
  <c r="BK98" i="9"/>
  <c r="BJ98" i="9"/>
  <c r="BI98" i="9"/>
  <c r="BH98" i="9"/>
  <c r="BG98" i="9"/>
  <c r="BF98" i="9"/>
  <c r="BE98" i="9"/>
  <c r="BD98" i="9"/>
  <c r="BC98" i="9"/>
  <c r="BB98" i="9"/>
  <c r="BA98" i="9"/>
  <c r="BA118" i="9" s="1"/>
  <c r="AZ98" i="9"/>
  <c r="AQ98" i="9"/>
  <c r="AC98" i="9" s="1"/>
  <c r="AA98" i="9"/>
  <c r="U98" i="9"/>
  <c r="DF97" i="9"/>
  <c r="CQ97" i="9" s="1"/>
  <c r="BU97" i="9"/>
  <c r="BN97" i="9"/>
  <c r="AY97" i="9" s="1"/>
  <c r="AC97" i="9"/>
  <c r="G97" i="9"/>
  <c r="DF96" i="9"/>
  <c r="CQ96" i="9" s="1"/>
  <c r="BU96" i="9"/>
  <c r="BN96" i="9"/>
  <c r="AY96" i="9" s="1"/>
  <c r="AC96" i="9"/>
  <c r="G96" i="9"/>
  <c r="AB96" i="9" s="1"/>
  <c r="AX96" i="9" s="1"/>
  <c r="DK95" i="9"/>
  <c r="DJ95" i="9"/>
  <c r="DI95" i="9"/>
  <c r="DH95" i="9"/>
  <c r="DG95" i="9"/>
  <c r="DF95" i="9"/>
  <c r="DE95" i="9"/>
  <c r="DD95" i="9"/>
  <c r="DC95" i="9"/>
  <c r="DB95" i="9"/>
  <c r="DA95" i="9"/>
  <c r="CZ95" i="9"/>
  <c r="CY95" i="9"/>
  <c r="CX95" i="9"/>
  <c r="CW95" i="9"/>
  <c r="CV95" i="9"/>
  <c r="CU95" i="9"/>
  <c r="CT95" i="9"/>
  <c r="CS95" i="9"/>
  <c r="CR95" i="9"/>
  <c r="BU95" i="9"/>
  <c r="BS95" i="9"/>
  <c r="BR95" i="9"/>
  <c r="BQ95" i="9"/>
  <c r="BP95" i="9"/>
  <c r="BO95" i="9"/>
  <c r="BN95" i="9"/>
  <c r="BM95" i="9"/>
  <c r="BL95" i="9"/>
  <c r="BK95" i="9"/>
  <c r="BJ95" i="9"/>
  <c r="BI95" i="9"/>
  <c r="BH95" i="9"/>
  <c r="BG95" i="9"/>
  <c r="BF95" i="9"/>
  <c r="BE95" i="9"/>
  <c r="BD95" i="9"/>
  <c r="BC95" i="9"/>
  <c r="BB95" i="9"/>
  <c r="BA95" i="9"/>
  <c r="AZ95" i="9"/>
  <c r="AC95" i="9"/>
  <c r="G95" i="9"/>
  <c r="CN94" i="9"/>
  <c r="CM94" i="9"/>
  <c r="CL94" i="9"/>
  <c r="CJ94" i="9"/>
  <c r="CG94" i="9"/>
  <c r="CF94" i="9"/>
  <c r="CE94" i="9"/>
  <c r="CD94" i="9"/>
  <c r="CC94" i="9"/>
  <c r="CB94" i="9"/>
  <c r="CA94" i="9"/>
  <c r="BZ94" i="9"/>
  <c r="AV94" i="9"/>
  <c r="AU94" i="9"/>
  <c r="AT94" i="9"/>
  <c r="AO94" i="9"/>
  <c r="AN94" i="9"/>
  <c r="AM94" i="9"/>
  <c r="AL94" i="9"/>
  <c r="AK94" i="9"/>
  <c r="AJ94" i="9"/>
  <c r="AI94" i="9"/>
  <c r="AH94" i="9"/>
  <c r="Z94" i="9"/>
  <c r="Y94" i="9"/>
  <c r="X94" i="9"/>
  <c r="W94" i="9"/>
  <c r="V94" i="9"/>
  <c r="U94" i="9"/>
  <c r="T94" i="9"/>
  <c r="S94" i="9"/>
  <c r="R94" i="9"/>
  <c r="Q94" i="9"/>
  <c r="P94" i="9"/>
  <c r="O94" i="9"/>
  <c r="N94" i="9"/>
  <c r="M94" i="9"/>
  <c r="L94" i="9"/>
  <c r="K94" i="9"/>
  <c r="J94" i="9"/>
  <c r="I94" i="9"/>
  <c r="DK93" i="9"/>
  <c r="DJ93" i="9"/>
  <c r="DI93" i="9"/>
  <c r="DH93" i="9"/>
  <c r="DG93" i="9"/>
  <c r="DF93" i="9"/>
  <c r="DE93" i="9"/>
  <c r="DD93" i="9"/>
  <c r="DC93" i="9"/>
  <c r="DB93" i="9"/>
  <c r="DA93" i="9"/>
  <c r="CZ93" i="9"/>
  <c r="CY93" i="9"/>
  <c r="CX93" i="9"/>
  <c r="CW93" i="9"/>
  <c r="CV93" i="9"/>
  <c r="CU93" i="9"/>
  <c r="CS93" i="9"/>
  <c r="CR93" i="9"/>
  <c r="BX93" i="9"/>
  <c r="BS93" i="9"/>
  <c r="BR93" i="9"/>
  <c r="BQ93" i="9"/>
  <c r="BP93" i="9"/>
  <c r="BO93" i="9"/>
  <c r="BN93" i="9"/>
  <c r="BM93" i="9"/>
  <c r="BL93" i="9"/>
  <c r="BK93" i="9"/>
  <c r="BJ93" i="9"/>
  <c r="BI93" i="9"/>
  <c r="BH93" i="9"/>
  <c r="BG93" i="9"/>
  <c r="BF93" i="9"/>
  <c r="BE93" i="9"/>
  <c r="BD93" i="9"/>
  <c r="BC93" i="9"/>
  <c r="BA93" i="9"/>
  <c r="AZ93" i="9"/>
  <c r="AF93" i="9"/>
  <c r="BB93" i="9" s="1"/>
  <c r="AC93" i="9"/>
  <c r="G93" i="9"/>
  <c r="DJ92" i="9"/>
  <c r="DI92" i="9"/>
  <c r="DH92" i="9"/>
  <c r="DG92" i="9"/>
  <c r="DF92" i="9"/>
  <c r="DE92" i="9"/>
  <c r="DD92" i="9"/>
  <c r="DC92" i="9"/>
  <c r="DB92" i="9"/>
  <c r="DA92" i="9"/>
  <c r="CZ92" i="9"/>
  <c r="CY92" i="9"/>
  <c r="CX92" i="9"/>
  <c r="CW92" i="9"/>
  <c r="CV92" i="9"/>
  <c r="CU92" i="9"/>
  <c r="CT92" i="9"/>
  <c r="CR92" i="9"/>
  <c r="BW92" i="9"/>
  <c r="BR92" i="9"/>
  <c r="BQ92" i="9"/>
  <c r="BP92" i="9"/>
  <c r="BO92" i="9"/>
  <c r="BN92" i="9"/>
  <c r="BM92" i="9"/>
  <c r="BL92" i="9"/>
  <c r="BK92" i="9"/>
  <c r="BJ92" i="9"/>
  <c r="BI92" i="9"/>
  <c r="BH92" i="9"/>
  <c r="BG92" i="9"/>
  <c r="BF92" i="9"/>
  <c r="BE92" i="9"/>
  <c r="BD92" i="9"/>
  <c r="BC92" i="9"/>
  <c r="BB92" i="9"/>
  <c r="AZ92" i="9"/>
  <c r="AE92" i="9"/>
  <c r="AA92" i="9"/>
  <c r="DK92" i="9" s="1"/>
  <c r="G92" i="9"/>
  <c r="DK91" i="9"/>
  <c r="DJ91" i="9"/>
  <c r="DI91" i="9"/>
  <c r="DH91" i="9"/>
  <c r="DG91" i="9"/>
  <c r="DF91" i="9"/>
  <c r="DD91" i="9"/>
  <c r="DC91" i="9"/>
  <c r="DB91" i="9"/>
  <c r="DA91" i="9"/>
  <c r="CZ91" i="9"/>
  <c r="CY91" i="9"/>
  <c r="CX91" i="9"/>
  <c r="CW91" i="9"/>
  <c r="CV91" i="9"/>
  <c r="CU91" i="9"/>
  <c r="CT91" i="9"/>
  <c r="CR91" i="9"/>
  <c r="CI91" i="9"/>
  <c r="DE91" i="9" s="1"/>
  <c r="BW91" i="9"/>
  <c r="CS91" i="9" s="1"/>
  <c r="BS91" i="9"/>
  <c r="BR91" i="9"/>
  <c r="BQ91" i="9"/>
  <c r="BP91" i="9"/>
  <c r="BO91" i="9"/>
  <c r="BN91" i="9"/>
  <c r="BL91" i="9"/>
  <c r="BK91" i="9"/>
  <c r="BJ91" i="9"/>
  <c r="BI91" i="9"/>
  <c r="BH91" i="9"/>
  <c r="BG91" i="9"/>
  <c r="BF91" i="9"/>
  <c r="BE91" i="9"/>
  <c r="BD91" i="9"/>
  <c r="BC91" i="9"/>
  <c r="BB91" i="9"/>
  <c r="BA91" i="9"/>
  <c r="AZ91" i="9"/>
  <c r="AQ91" i="9"/>
  <c r="BM91" i="9" s="1"/>
  <c r="AE91" i="9"/>
  <c r="G91" i="9"/>
  <c r="DK90" i="9"/>
  <c r="DJ90" i="9"/>
  <c r="DI90" i="9"/>
  <c r="DH90" i="9"/>
  <c r="DF90" i="9"/>
  <c r="DE90" i="9"/>
  <c r="DD90" i="9"/>
  <c r="DC90" i="9"/>
  <c r="DB90" i="9"/>
  <c r="DA90" i="9"/>
  <c r="CZ90" i="9"/>
  <c r="CY90" i="9"/>
  <c r="CX90" i="9"/>
  <c r="CW90" i="9"/>
  <c r="CV90" i="9"/>
  <c r="CT90" i="9"/>
  <c r="CS90" i="9"/>
  <c r="CR90" i="9"/>
  <c r="CK90" i="9"/>
  <c r="DG90" i="9" s="1"/>
  <c r="BY90" i="9"/>
  <c r="BU90" i="9" s="1"/>
  <c r="BS90" i="9"/>
  <c r="BR90" i="9"/>
  <c r="BQ90" i="9"/>
  <c r="BP90" i="9"/>
  <c r="BN90" i="9"/>
  <c r="BL90" i="9"/>
  <c r="BK90" i="9"/>
  <c r="BJ90" i="9"/>
  <c r="BI90" i="9"/>
  <c r="BH90" i="9"/>
  <c r="BG90" i="9"/>
  <c r="BF90" i="9"/>
  <c r="BE90" i="9"/>
  <c r="BD90" i="9"/>
  <c r="BB90" i="9"/>
  <c r="BA90" i="9"/>
  <c r="AS90" i="9"/>
  <c r="BO90" i="9" s="1"/>
  <c r="AQ90" i="9"/>
  <c r="BM90" i="9" s="1"/>
  <c r="AG90" i="9"/>
  <c r="BC90" i="9" s="1"/>
  <c r="H90" i="9"/>
  <c r="AZ90" i="9" s="1"/>
  <c r="G90" i="9"/>
  <c r="DJ89" i="9"/>
  <c r="DI89" i="9"/>
  <c r="DH89" i="9"/>
  <c r="DF89" i="9"/>
  <c r="DE89" i="9"/>
  <c r="DD89" i="9"/>
  <c r="DC89" i="9"/>
  <c r="DB89" i="9"/>
  <c r="DA89" i="9"/>
  <c r="CZ89" i="9"/>
  <c r="CY89" i="9"/>
  <c r="CX89" i="9"/>
  <c r="CW89" i="9"/>
  <c r="CV89" i="9"/>
  <c r="CU89" i="9"/>
  <c r="CT89" i="9"/>
  <c r="CS89" i="9"/>
  <c r="CK89" i="9"/>
  <c r="DG89" i="9" s="1"/>
  <c r="BV89" i="9"/>
  <c r="BR89" i="9"/>
  <c r="BQ89" i="9"/>
  <c r="BP89" i="9"/>
  <c r="BO89" i="9"/>
  <c r="BN89" i="9"/>
  <c r="BM89" i="9"/>
  <c r="BL89" i="9"/>
  <c r="BK89" i="9"/>
  <c r="BJ89" i="9"/>
  <c r="BI89" i="9"/>
  <c r="BH89" i="9"/>
  <c r="BG89" i="9"/>
  <c r="BF89" i="9"/>
  <c r="BE89" i="9"/>
  <c r="BD89" i="9"/>
  <c r="BC89" i="9"/>
  <c r="BB89" i="9"/>
  <c r="BA89" i="9"/>
  <c r="AZ89" i="9"/>
  <c r="AW89" i="9"/>
  <c r="AC89" i="9" s="1"/>
  <c r="AS89" i="9"/>
  <c r="AD89" i="9"/>
  <c r="AA89" i="9"/>
  <c r="DJ88" i="9"/>
  <c r="DI88" i="9"/>
  <c r="DH88" i="9"/>
  <c r="DG88" i="9"/>
  <c r="DF88" i="9"/>
  <c r="DE88" i="9"/>
  <c r="DC88" i="9"/>
  <c r="DB88" i="9"/>
  <c r="DA88" i="9"/>
  <c r="CZ88" i="9"/>
  <c r="CY88" i="9"/>
  <c r="CX88" i="9"/>
  <c r="CW88" i="9"/>
  <c r="CV88" i="9"/>
  <c r="CU88" i="9"/>
  <c r="CT88" i="9"/>
  <c r="CS88" i="9"/>
  <c r="CR88" i="9"/>
  <c r="CH88" i="9"/>
  <c r="BW88" i="9"/>
  <c r="BV88" i="9"/>
  <c r="BR88" i="9"/>
  <c r="BQ88" i="9"/>
  <c r="BP88" i="9"/>
  <c r="BO88" i="9"/>
  <c r="BN88" i="9"/>
  <c r="BM88" i="9"/>
  <c r="BK88" i="9"/>
  <c r="BJ88" i="9"/>
  <c r="BI88" i="9"/>
  <c r="BH88" i="9"/>
  <c r="BG88" i="9"/>
  <c r="BF88" i="9"/>
  <c r="BE88" i="9"/>
  <c r="BD88" i="9"/>
  <c r="BC88" i="9"/>
  <c r="BB88" i="9"/>
  <c r="AW88" i="9"/>
  <c r="AP88" i="9"/>
  <c r="BL88" i="9" s="1"/>
  <c r="AE88" i="9"/>
  <c r="BA88" i="9" s="1"/>
  <c r="AD88" i="9"/>
  <c r="AA88" i="9"/>
  <c r="BS88" i="9" s="1"/>
  <c r="DJ87" i="9"/>
  <c r="DI87" i="9"/>
  <c r="DH87" i="9"/>
  <c r="DG87" i="9"/>
  <c r="DC87" i="9"/>
  <c r="DB87" i="9"/>
  <c r="DA87" i="9"/>
  <c r="CZ87" i="9"/>
  <c r="CY87" i="9"/>
  <c r="CX87" i="9"/>
  <c r="CW87" i="9"/>
  <c r="CV87" i="9"/>
  <c r="CU87" i="9"/>
  <c r="CT87" i="9"/>
  <c r="CO87" i="9"/>
  <c r="CJ87" i="9"/>
  <c r="CJ126" i="9" s="1"/>
  <c r="CI87" i="9"/>
  <c r="DE87" i="9" s="1"/>
  <c r="CH87" i="9"/>
  <c r="CH94" i="9" s="1"/>
  <c r="BW87" i="9"/>
  <c r="CS87" i="9" s="1"/>
  <c r="BV87" i="9"/>
  <c r="CR87" i="9" s="1"/>
  <c r="BR87" i="9"/>
  <c r="BQ87" i="9"/>
  <c r="BP87" i="9"/>
  <c r="BO87" i="9"/>
  <c r="BK87" i="9"/>
  <c r="BJ87" i="9"/>
  <c r="BI87" i="9"/>
  <c r="BH87" i="9"/>
  <c r="BG87" i="9"/>
  <c r="BF87" i="9"/>
  <c r="BE87" i="9"/>
  <c r="BD87" i="9"/>
  <c r="BC87" i="9"/>
  <c r="BB87" i="9"/>
  <c r="AW87" i="9"/>
  <c r="AR87" i="9"/>
  <c r="AQ87" i="9"/>
  <c r="BM87" i="9" s="1"/>
  <c r="AP87" i="9"/>
  <c r="BL87" i="9" s="1"/>
  <c r="AE87" i="9"/>
  <c r="BA87" i="9" s="1"/>
  <c r="AD87" i="9"/>
  <c r="AA87" i="9"/>
  <c r="DK86" i="9"/>
  <c r="DJ86" i="9"/>
  <c r="DI86" i="9"/>
  <c r="DH86" i="9"/>
  <c r="DF86" i="9"/>
  <c r="DE86" i="9"/>
  <c r="DD86" i="9"/>
  <c r="DC86" i="9"/>
  <c r="DB86" i="9"/>
  <c r="DA86" i="9"/>
  <c r="CZ86" i="9"/>
  <c r="CY86" i="9"/>
  <c r="CX86" i="9"/>
  <c r="CW86" i="9"/>
  <c r="CV86" i="9"/>
  <c r="CU86" i="9"/>
  <c r="CT86" i="9"/>
  <c r="CS86" i="9"/>
  <c r="CR86" i="9"/>
  <c r="CK86" i="9"/>
  <c r="BU86" i="9" s="1"/>
  <c r="BS86" i="9"/>
  <c r="BR86" i="9"/>
  <c r="BQ86" i="9"/>
  <c r="BP86" i="9"/>
  <c r="BN86" i="9"/>
  <c r="BM86" i="9"/>
  <c r="BL86" i="9"/>
  <c r="BK86" i="9"/>
  <c r="BJ86" i="9"/>
  <c r="BI86" i="9"/>
  <c r="BH86" i="9"/>
  <c r="BG86" i="9"/>
  <c r="BF86" i="9"/>
  <c r="BE86" i="9"/>
  <c r="BD86" i="9"/>
  <c r="BC86" i="9"/>
  <c r="BB86" i="9"/>
  <c r="BA86" i="9"/>
  <c r="AZ86" i="9"/>
  <c r="AS86" i="9"/>
  <c r="AC86" i="9" s="1"/>
  <c r="G86" i="9"/>
  <c r="DK85" i="9"/>
  <c r="DJ85" i="9"/>
  <c r="DI85" i="9"/>
  <c r="DH85" i="9"/>
  <c r="DF85" i="9"/>
  <c r="DD85" i="9"/>
  <c r="DC85" i="9"/>
  <c r="DB85" i="9"/>
  <c r="DA85" i="9"/>
  <c r="CZ85" i="9"/>
  <c r="CY85" i="9"/>
  <c r="CX85" i="9"/>
  <c r="CW85" i="9"/>
  <c r="CV85" i="9"/>
  <c r="CU85" i="9"/>
  <c r="CT85" i="9"/>
  <c r="CR85" i="9"/>
  <c r="CK85" i="9"/>
  <c r="DG85" i="9" s="1"/>
  <c r="CI85" i="9"/>
  <c r="BW85" i="9"/>
  <c r="BS85" i="9"/>
  <c r="BR85" i="9"/>
  <c r="BQ85" i="9"/>
  <c r="BP85" i="9"/>
  <c r="BN85" i="9"/>
  <c r="BL85" i="9"/>
  <c r="BK85" i="9"/>
  <c r="BJ85" i="9"/>
  <c r="BI85" i="9"/>
  <c r="BH85" i="9"/>
  <c r="BG85" i="9"/>
  <c r="BF85" i="9"/>
  <c r="BE85" i="9"/>
  <c r="BD85" i="9"/>
  <c r="BC85" i="9"/>
  <c r="BB85" i="9"/>
  <c r="BA85" i="9"/>
  <c r="AZ85" i="9"/>
  <c r="AS85" i="9"/>
  <c r="BO85" i="9" s="1"/>
  <c r="AQ85" i="9"/>
  <c r="AE85" i="9"/>
  <c r="G85" i="9"/>
  <c r="DK84" i="9"/>
  <c r="DJ84" i="9"/>
  <c r="DI84" i="9"/>
  <c r="DH84" i="9"/>
  <c r="DG84" i="9"/>
  <c r="DF84" i="9"/>
  <c r="DE84" i="9"/>
  <c r="DD84" i="9"/>
  <c r="DC84" i="9"/>
  <c r="DB84" i="9"/>
  <c r="DA84" i="9"/>
  <c r="CZ84" i="9"/>
  <c r="CY84" i="9"/>
  <c r="CX84" i="9"/>
  <c r="CW84" i="9"/>
  <c r="CV84" i="9"/>
  <c r="CU84" i="9"/>
  <c r="CT84" i="9"/>
  <c r="CS84" i="9"/>
  <c r="BV84" i="9"/>
  <c r="CR84" i="9" s="1"/>
  <c r="BS84" i="9"/>
  <c r="BR84" i="9"/>
  <c r="BQ84" i="9"/>
  <c r="BP84" i="9"/>
  <c r="BO84" i="9"/>
  <c r="BN84" i="9"/>
  <c r="BM84" i="9"/>
  <c r="BL84" i="9"/>
  <c r="BK84" i="9"/>
  <c r="BJ84" i="9"/>
  <c r="BI84" i="9"/>
  <c r="BH84" i="9"/>
  <c r="BG84" i="9"/>
  <c r="BF84" i="9"/>
  <c r="BE84" i="9"/>
  <c r="BD84" i="9"/>
  <c r="BC84" i="9"/>
  <c r="BB84" i="9"/>
  <c r="BA84" i="9"/>
  <c r="AD84" i="9"/>
  <c r="G84" i="9"/>
  <c r="DJ83" i="9"/>
  <c r="DI83" i="9"/>
  <c r="DH83" i="9"/>
  <c r="DG83" i="9"/>
  <c r="DF83" i="9"/>
  <c r="DE83" i="9"/>
  <c r="DD83" i="9"/>
  <c r="DC83" i="9"/>
  <c r="DB83" i="9"/>
  <c r="DA83" i="9"/>
  <c r="CZ83" i="9"/>
  <c r="CY83" i="9"/>
  <c r="CX83" i="9"/>
  <c r="CW83" i="9"/>
  <c r="CV83" i="9"/>
  <c r="CU83" i="9"/>
  <c r="CT83" i="9"/>
  <c r="CS83" i="9"/>
  <c r="CR83" i="9"/>
  <c r="CO83" i="9"/>
  <c r="BU83" i="9" s="1"/>
  <c r="BR83" i="9"/>
  <c r="BQ83" i="9"/>
  <c r="BP83" i="9"/>
  <c r="BO83" i="9"/>
  <c r="BN83" i="9"/>
  <c r="BM83" i="9"/>
  <c r="BL83" i="9"/>
  <c r="BK83" i="9"/>
  <c r="BJ83" i="9"/>
  <c r="BI83" i="9"/>
  <c r="BH83" i="9"/>
  <c r="BG83" i="9"/>
  <c r="BF83" i="9"/>
  <c r="BE83" i="9"/>
  <c r="BD83" i="9"/>
  <c r="BC83" i="9"/>
  <c r="BB83" i="9"/>
  <c r="BA83" i="9"/>
  <c r="AZ83" i="9"/>
  <c r="AW83" i="9"/>
  <c r="AC83" i="9" s="1"/>
  <c r="AA83" i="9"/>
  <c r="DK82" i="9"/>
  <c r="DJ82" i="9"/>
  <c r="DI82" i="9"/>
  <c r="DH82" i="9"/>
  <c r="DF82" i="9"/>
  <c r="DE82" i="9"/>
  <c r="DD82" i="9"/>
  <c r="DC82" i="9"/>
  <c r="DB82" i="9"/>
  <c r="DA82" i="9"/>
  <c r="CZ82" i="9"/>
  <c r="CY82" i="9"/>
  <c r="CX82" i="9"/>
  <c r="CW82" i="9"/>
  <c r="CV82" i="9"/>
  <c r="CU82" i="9"/>
  <c r="CT82" i="9"/>
  <c r="CS82" i="9"/>
  <c r="CK82" i="9"/>
  <c r="DG82" i="9" s="1"/>
  <c r="BV82" i="9"/>
  <c r="BS82" i="9"/>
  <c r="BR82" i="9"/>
  <c r="BQ82" i="9"/>
  <c r="BP82" i="9"/>
  <c r="BN82" i="9"/>
  <c r="BM82" i="9"/>
  <c r="BL82" i="9"/>
  <c r="BK82" i="9"/>
  <c r="BJ82" i="9"/>
  <c r="BI82" i="9"/>
  <c r="BH82" i="9"/>
  <c r="BG82" i="9"/>
  <c r="BF82" i="9"/>
  <c r="BE82" i="9"/>
  <c r="BD82" i="9"/>
  <c r="BC82" i="9"/>
  <c r="BB82" i="9"/>
  <c r="BA82" i="9"/>
  <c r="AS82" i="9"/>
  <c r="AD82" i="9"/>
  <c r="H82" i="9"/>
  <c r="DK81" i="9"/>
  <c r="DJ81" i="9"/>
  <c r="DI81" i="9"/>
  <c r="DH81" i="9"/>
  <c r="DG81" i="9"/>
  <c r="DF81" i="9"/>
  <c r="DE81" i="9"/>
  <c r="DD81" i="9"/>
  <c r="DC81" i="9"/>
  <c r="DB81" i="9"/>
  <c r="DA81" i="9"/>
  <c r="CZ81" i="9"/>
  <c r="CY81" i="9"/>
  <c r="CX81" i="9"/>
  <c r="CW81" i="9"/>
  <c r="CV81" i="9"/>
  <c r="CU81" i="9"/>
  <c r="CT81" i="9"/>
  <c r="CS81" i="9"/>
  <c r="BV81" i="9"/>
  <c r="BU81" i="9" s="1"/>
  <c r="BS81" i="9"/>
  <c r="BR81" i="9"/>
  <c r="BQ81" i="9"/>
  <c r="BP81" i="9"/>
  <c r="BO81" i="9"/>
  <c r="BN81" i="9"/>
  <c r="BM81" i="9"/>
  <c r="BL81" i="9"/>
  <c r="BK81" i="9"/>
  <c r="BJ81" i="9"/>
  <c r="BI81" i="9"/>
  <c r="BH81" i="9"/>
  <c r="BG81" i="9"/>
  <c r="BF81" i="9"/>
  <c r="BE81" i="9"/>
  <c r="BD81" i="9"/>
  <c r="BC81" i="9"/>
  <c r="BB81" i="9"/>
  <c r="BA81" i="9"/>
  <c r="AD81" i="9"/>
  <c r="AC81" i="9" s="1"/>
  <c r="H81" i="9"/>
  <c r="DK80" i="9"/>
  <c r="DJ80" i="9"/>
  <c r="DI80" i="9"/>
  <c r="DH80" i="9"/>
  <c r="DG80" i="9"/>
  <c r="DF80" i="9"/>
  <c r="DE80" i="9"/>
  <c r="DD80" i="9"/>
  <c r="DC80" i="9"/>
  <c r="DB80" i="9"/>
  <c r="DA80" i="9"/>
  <c r="CZ80" i="9"/>
  <c r="CY80" i="9"/>
  <c r="CX80" i="9"/>
  <c r="CW80" i="9"/>
  <c r="CV80" i="9"/>
  <c r="CU80" i="9"/>
  <c r="CT80" i="9"/>
  <c r="BV80" i="9"/>
  <c r="BU80" i="9"/>
  <c r="BS80" i="9"/>
  <c r="BR80" i="9"/>
  <c r="BQ80" i="9"/>
  <c r="BP80" i="9"/>
  <c r="BO80" i="9"/>
  <c r="BN80" i="9"/>
  <c r="BM80" i="9"/>
  <c r="BL80" i="9"/>
  <c r="BK80" i="9"/>
  <c r="BJ80" i="9"/>
  <c r="BI80" i="9"/>
  <c r="BH80" i="9"/>
  <c r="BG80" i="9"/>
  <c r="BF80" i="9"/>
  <c r="BE80" i="9"/>
  <c r="BD80" i="9"/>
  <c r="BC80" i="9"/>
  <c r="BB80" i="9"/>
  <c r="BA80" i="9"/>
  <c r="AD80" i="9"/>
  <c r="AC80" i="9" s="1"/>
  <c r="H80" i="9"/>
  <c r="G80" i="9" s="1"/>
  <c r="CN79" i="9"/>
  <c r="CM79" i="9"/>
  <c r="CK79" i="9"/>
  <c r="CH79" i="9"/>
  <c r="CF79" i="9"/>
  <c r="CE79" i="9"/>
  <c r="CD79" i="9"/>
  <c r="CC79" i="9"/>
  <c r="CB79" i="9"/>
  <c r="CA79" i="9"/>
  <c r="BZ79" i="9"/>
  <c r="BY79" i="9"/>
  <c r="BX79" i="9"/>
  <c r="BV79" i="9"/>
  <c r="AV79" i="9"/>
  <c r="AU79" i="9"/>
  <c r="AT79" i="9"/>
  <c r="AS79" i="9"/>
  <c r="AP79" i="9"/>
  <c r="AN79" i="9"/>
  <c r="AM79" i="9"/>
  <c r="AL79" i="9"/>
  <c r="AK79" i="9"/>
  <c r="AJ79" i="9"/>
  <c r="AI79" i="9"/>
  <c r="AH79" i="9"/>
  <c r="AG79" i="9"/>
  <c r="AF79" i="9"/>
  <c r="AD79" i="9"/>
  <c r="Z79" i="9"/>
  <c r="Y79" i="9"/>
  <c r="X79" i="9"/>
  <c r="W79" i="9"/>
  <c r="U79" i="9"/>
  <c r="T79" i="9"/>
  <c r="R79" i="9"/>
  <c r="Q79" i="9"/>
  <c r="P79" i="9"/>
  <c r="O79" i="9"/>
  <c r="N79" i="9"/>
  <c r="M79" i="9"/>
  <c r="L79" i="9"/>
  <c r="K79" i="9"/>
  <c r="J79" i="9"/>
  <c r="H79" i="9"/>
  <c r="DJ78" i="9"/>
  <c r="DI78" i="9"/>
  <c r="DH78" i="9"/>
  <c r="DG78" i="9"/>
  <c r="DF78" i="9"/>
  <c r="DE78" i="9"/>
  <c r="DD78" i="9"/>
  <c r="DC78" i="9"/>
  <c r="DB78" i="9"/>
  <c r="DA78" i="9"/>
  <c r="CZ78" i="9"/>
  <c r="CY78" i="9"/>
  <c r="CX78" i="9"/>
  <c r="CW78" i="9"/>
  <c r="CV78" i="9"/>
  <c r="CU78" i="9"/>
  <c r="CT78" i="9"/>
  <c r="CS78" i="9"/>
  <c r="CR78" i="9"/>
  <c r="CO78" i="9"/>
  <c r="BU78" i="9" s="1"/>
  <c r="BR78" i="9"/>
  <c r="BQ78" i="9"/>
  <c r="BP78" i="9"/>
  <c r="BO78" i="9"/>
  <c r="BN78" i="9"/>
  <c r="BM78" i="9"/>
  <c r="BL78" i="9"/>
  <c r="BK78" i="9"/>
  <c r="BJ78" i="9"/>
  <c r="BI78" i="9"/>
  <c r="BH78" i="9"/>
  <c r="BG78" i="9"/>
  <c r="BF78" i="9"/>
  <c r="BE78" i="9"/>
  <c r="BD78" i="9"/>
  <c r="BC78" i="9"/>
  <c r="BB78" i="9"/>
  <c r="BA78" i="9"/>
  <c r="AZ78" i="9"/>
  <c r="AW78" i="9"/>
  <c r="AC78" i="9" s="1"/>
  <c r="AA78" i="9"/>
  <c r="G78" i="9" s="1"/>
  <c r="AB78" i="9" s="1"/>
  <c r="AX78" i="9" s="1"/>
  <c r="DJ77" i="9"/>
  <c r="DI77" i="9"/>
  <c r="DH77" i="9"/>
  <c r="DG77" i="9"/>
  <c r="DF77" i="9"/>
  <c r="DE77" i="9"/>
  <c r="DD77" i="9"/>
  <c r="DC77" i="9"/>
  <c r="DB77" i="9"/>
  <c r="DA77" i="9"/>
  <c r="CZ77" i="9"/>
  <c r="CY77" i="9"/>
  <c r="CX77" i="9"/>
  <c r="CW77" i="9"/>
  <c r="CV77" i="9"/>
  <c r="CU77" i="9"/>
  <c r="CT77" i="9"/>
  <c r="CR77" i="9"/>
  <c r="CO77" i="9"/>
  <c r="DK77" i="9" s="1"/>
  <c r="CI77" i="9"/>
  <c r="BW77" i="9"/>
  <c r="BS77" i="9"/>
  <c r="BR77" i="9"/>
  <c r="BQ77" i="9"/>
  <c r="BP77" i="9"/>
  <c r="BO77" i="9"/>
  <c r="BN77" i="9"/>
  <c r="BL77" i="9"/>
  <c r="BK77" i="9"/>
  <c r="BJ77" i="9"/>
  <c r="BI77" i="9"/>
  <c r="BH77" i="9"/>
  <c r="BG77" i="9"/>
  <c r="BF77" i="9"/>
  <c r="BE77" i="9"/>
  <c r="BD77" i="9"/>
  <c r="BC77" i="9"/>
  <c r="BB77" i="9"/>
  <c r="AZ77" i="9"/>
  <c r="AW77" i="9"/>
  <c r="AR77" i="9"/>
  <c r="AQ77" i="9"/>
  <c r="BM77" i="9" s="1"/>
  <c r="AE77" i="9"/>
  <c r="AA77" i="9"/>
  <c r="I77" i="9"/>
  <c r="DK76" i="9"/>
  <c r="DJ76" i="9"/>
  <c r="DI76" i="9"/>
  <c r="DH76" i="9"/>
  <c r="DG76" i="9"/>
  <c r="DF76" i="9"/>
  <c r="DE76" i="9"/>
  <c r="DD76" i="9"/>
  <c r="DC76" i="9"/>
  <c r="DB76" i="9"/>
  <c r="DA76" i="9"/>
  <c r="CZ76" i="9"/>
  <c r="CY76" i="9"/>
  <c r="CX76" i="9"/>
  <c r="CW76" i="9"/>
  <c r="CV76" i="9"/>
  <c r="CU76" i="9"/>
  <c r="CT76" i="9"/>
  <c r="CR76" i="9"/>
  <c r="BW76" i="9"/>
  <c r="BU76" i="9" s="1"/>
  <c r="BS76" i="9"/>
  <c r="BR76" i="9"/>
  <c r="BQ76" i="9"/>
  <c r="BP76" i="9"/>
  <c r="BO76" i="9"/>
  <c r="BN76" i="9"/>
  <c r="BM76" i="9"/>
  <c r="BL76" i="9"/>
  <c r="BK76" i="9"/>
  <c r="BJ76" i="9"/>
  <c r="BI76" i="9"/>
  <c r="BH76" i="9"/>
  <c r="BG76" i="9"/>
  <c r="BF76" i="9"/>
  <c r="BE76" i="9"/>
  <c r="BD76" i="9"/>
  <c r="BC76" i="9"/>
  <c r="BB76" i="9"/>
  <c r="AZ76" i="9"/>
  <c r="AE76" i="9"/>
  <c r="AC76" i="9" s="1"/>
  <c r="I76" i="9"/>
  <c r="DK75" i="9"/>
  <c r="DJ75" i="9"/>
  <c r="DI75" i="9"/>
  <c r="DH75" i="9"/>
  <c r="DG75" i="9"/>
  <c r="DF75" i="9"/>
  <c r="DE75" i="9"/>
  <c r="DD75" i="9"/>
  <c r="DC75" i="9"/>
  <c r="DB75" i="9"/>
  <c r="DA75" i="9"/>
  <c r="CZ75" i="9"/>
  <c r="CY75" i="9"/>
  <c r="CX75" i="9"/>
  <c r="CW75" i="9"/>
  <c r="CV75" i="9"/>
  <c r="CU75" i="9"/>
  <c r="CT75" i="9"/>
  <c r="CS75" i="9"/>
  <c r="CR75" i="9"/>
  <c r="BU75" i="9"/>
  <c r="BS75" i="9"/>
  <c r="BR75" i="9"/>
  <c r="BQ75" i="9"/>
  <c r="BP75" i="9"/>
  <c r="BO75" i="9"/>
  <c r="BN75" i="9"/>
  <c r="BM75" i="9"/>
  <c r="BL75" i="9"/>
  <c r="BK75" i="9"/>
  <c r="BJ75" i="9"/>
  <c r="BI75" i="9"/>
  <c r="BH75" i="9"/>
  <c r="BG75" i="9"/>
  <c r="BF75" i="9"/>
  <c r="BE75" i="9"/>
  <c r="BD75" i="9"/>
  <c r="BC75" i="9"/>
  <c r="BB75" i="9"/>
  <c r="AZ75" i="9"/>
  <c r="AC75" i="9"/>
  <c r="I75" i="9"/>
  <c r="BA75" i="9" s="1"/>
  <c r="G75" i="9"/>
  <c r="AB75" i="9" s="1"/>
  <c r="AX75" i="9" s="1"/>
  <c r="DK74" i="9"/>
  <c r="DJ74" i="9"/>
  <c r="DI74" i="9"/>
  <c r="DH74" i="9"/>
  <c r="DG74" i="9"/>
  <c r="DF74" i="9"/>
  <c r="DE74" i="9"/>
  <c r="DD74" i="9"/>
  <c r="DC74" i="9"/>
  <c r="DB74" i="9"/>
  <c r="DA74" i="9"/>
  <c r="CZ74" i="9"/>
  <c r="CY74" i="9"/>
  <c r="CX74" i="9"/>
  <c r="CW74" i="9"/>
  <c r="CV74" i="9"/>
  <c r="CU74" i="9"/>
  <c r="CT74" i="9"/>
  <c r="CS74" i="9"/>
  <c r="CR74" i="9"/>
  <c r="BU74" i="9"/>
  <c r="BS74" i="9"/>
  <c r="BR74" i="9"/>
  <c r="BQ74" i="9"/>
  <c r="BP74" i="9"/>
  <c r="BO74" i="9"/>
  <c r="BN74" i="9"/>
  <c r="BM74" i="9"/>
  <c r="BL74" i="9"/>
  <c r="BK74" i="9"/>
  <c r="BJ74" i="9"/>
  <c r="BI74" i="9"/>
  <c r="BH74" i="9"/>
  <c r="BG74" i="9"/>
  <c r="BF74" i="9"/>
  <c r="BE74" i="9"/>
  <c r="BD74" i="9"/>
  <c r="BC74" i="9"/>
  <c r="BB74" i="9"/>
  <c r="BA74" i="9"/>
  <c r="AZ74" i="9"/>
  <c r="AC74" i="9"/>
  <c r="G74" i="9"/>
  <c r="DK73" i="9"/>
  <c r="DJ73" i="9"/>
  <c r="DI73" i="9"/>
  <c r="DH73" i="9"/>
  <c r="DG73" i="9"/>
  <c r="DF73" i="9"/>
  <c r="DE73" i="9"/>
  <c r="DD73" i="9"/>
  <c r="DC73" i="9"/>
  <c r="DB73" i="9"/>
  <c r="DA73" i="9"/>
  <c r="CZ73" i="9"/>
  <c r="CY73" i="9"/>
  <c r="CX73" i="9"/>
  <c r="CW73" i="9"/>
  <c r="CV73" i="9"/>
  <c r="CU73" i="9"/>
  <c r="CT73" i="9"/>
  <c r="CS73" i="9"/>
  <c r="CR73" i="9"/>
  <c r="BU73" i="9"/>
  <c r="BT73" i="9" s="1"/>
  <c r="CP73" i="9" s="1"/>
  <c r="BS73" i="9"/>
  <c r="BR73" i="9"/>
  <c r="BQ73" i="9"/>
  <c r="BP73" i="9"/>
  <c r="BO73" i="9"/>
  <c r="BN73" i="9"/>
  <c r="BM73" i="9"/>
  <c r="BL73" i="9"/>
  <c r="BK73" i="9"/>
  <c r="BJ73" i="9"/>
  <c r="BI73" i="9"/>
  <c r="BH73" i="9"/>
  <c r="BG73" i="9"/>
  <c r="BF73" i="9"/>
  <c r="BE73" i="9"/>
  <c r="BD73" i="9"/>
  <c r="BC73" i="9"/>
  <c r="BB73" i="9"/>
  <c r="AZ73" i="9"/>
  <c r="AE73" i="9"/>
  <c r="G73" i="9"/>
  <c r="DK72" i="9"/>
  <c r="DJ72" i="9"/>
  <c r="DI72" i="9"/>
  <c r="DH72" i="9"/>
  <c r="DG72" i="9"/>
  <c r="DF72" i="9"/>
  <c r="DD72" i="9"/>
  <c r="DC72" i="9"/>
  <c r="DB72" i="9"/>
  <c r="DA72" i="9"/>
  <c r="CZ72" i="9"/>
  <c r="CY72" i="9"/>
  <c r="CX72" i="9"/>
  <c r="CW72" i="9"/>
  <c r="CV72" i="9"/>
  <c r="CU72" i="9"/>
  <c r="CT72" i="9"/>
  <c r="CR72" i="9"/>
  <c r="CI72" i="9"/>
  <c r="BW72" i="9"/>
  <c r="CS72" i="9" s="1"/>
  <c r="BU72" i="9"/>
  <c r="BS72" i="9"/>
  <c r="BR72" i="9"/>
  <c r="BQ72" i="9"/>
  <c r="BP72" i="9"/>
  <c r="BO72" i="9"/>
  <c r="BN72" i="9"/>
  <c r="BL72" i="9"/>
  <c r="BK72" i="9"/>
  <c r="BJ72" i="9"/>
  <c r="BI72" i="9"/>
  <c r="BH72" i="9"/>
  <c r="BG72" i="9"/>
  <c r="BF72" i="9"/>
  <c r="BE72" i="9"/>
  <c r="BD72" i="9"/>
  <c r="BC72" i="9"/>
  <c r="BB72" i="9"/>
  <c r="BA72" i="9"/>
  <c r="AZ72" i="9"/>
  <c r="AQ72" i="9"/>
  <c r="AE72" i="9"/>
  <c r="G72" i="9"/>
  <c r="DK71" i="9"/>
  <c r="CQ71" i="9" s="1"/>
  <c r="BU71" i="9"/>
  <c r="BS71" i="9"/>
  <c r="AY71" i="9" s="1"/>
  <c r="AC71" i="9"/>
  <c r="G71" i="9"/>
  <c r="DK70" i="9"/>
  <c r="DJ70" i="9"/>
  <c r="DI70" i="9"/>
  <c r="DH70" i="9"/>
  <c r="DG70" i="9"/>
  <c r="DF70" i="9"/>
  <c r="DE70" i="9"/>
  <c r="DD70" i="9"/>
  <c r="DC70" i="9"/>
  <c r="DB70" i="9"/>
  <c r="DA70" i="9"/>
  <c r="CZ70" i="9"/>
  <c r="CY70" i="9"/>
  <c r="CX70" i="9"/>
  <c r="CW70" i="9"/>
  <c r="CV70" i="9"/>
  <c r="CU70" i="9"/>
  <c r="CT70" i="9"/>
  <c r="CR70" i="9"/>
  <c r="BW70" i="9"/>
  <c r="CS70" i="9" s="1"/>
  <c r="BS70" i="9"/>
  <c r="BR70" i="9"/>
  <c r="BQ70" i="9"/>
  <c r="BP70" i="9"/>
  <c r="BO70" i="9"/>
  <c r="BN70" i="9"/>
  <c r="BM70" i="9"/>
  <c r="BL70" i="9"/>
  <c r="BK70" i="9"/>
  <c r="BJ70" i="9"/>
  <c r="BI70" i="9"/>
  <c r="BH70" i="9"/>
  <c r="BG70" i="9"/>
  <c r="BF70" i="9"/>
  <c r="BE70" i="9"/>
  <c r="BD70" i="9"/>
  <c r="BC70" i="9"/>
  <c r="BB70" i="9"/>
  <c r="AZ70" i="9"/>
  <c r="AE70" i="9"/>
  <c r="AC70" i="9" s="1"/>
  <c r="G70" i="9"/>
  <c r="DK69" i="9"/>
  <c r="DJ69" i="9"/>
  <c r="DI69" i="9"/>
  <c r="DH69" i="9"/>
  <c r="DG69" i="9"/>
  <c r="DF69" i="9"/>
  <c r="DE69" i="9"/>
  <c r="DD69" i="9"/>
  <c r="DC69" i="9"/>
  <c r="DB69" i="9"/>
  <c r="DA69" i="9"/>
  <c r="CZ69" i="9"/>
  <c r="CY69" i="9"/>
  <c r="CX69" i="9"/>
  <c r="CW69" i="9"/>
  <c r="CV69" i="9"/>
  <c r="CU69" i="9"/>
  <c r="CT69" i="9"/>
  <c r="CR69" i="9"/>
  <c r="BW69" i="9"/>
  <c r="BU69" i="9" s="1"/>
  <c r="BS69" i="9"/>
  <c r="BR69" i="9"/>
  <c r="BQ69" i="9"/>
  <c r="BP69" i="9"/>
  <c r="BO69" i="9"/>
  <c r="BN69" i="9"/>
  <c r="BM69" i="9"/>
  <c r="BL69" i="9"/>
  <c r="BK69" i="9"/>
  <c r="BJ69" i="9"/>
  <c r="BI69" i="9"/>
  <c r="BH69" i="9"/>
  <c r="BG69" i="9"/>
  <c r="BF69" i="9"/>
  <c r="BE69" i="9"/>
  <c r="BD69" i="9"/>
  <c r="BC69" i="9"/>
  <c r="BB69" i="9"/>
  <c r="AZ69" i="9"/>
  <c r="AE69" i="9"/>
  <c r="G69" i="9"/>
  <c r="DK68" i="9"/>
  <c r="DJ68" i="9"/>
  <c r="DI68" i="9"/>
  <c r="DH68" i="9"/>
  <c r="DG68" i="9"/>
  <c r="DF68" i="9"/>
  <c r="DE68" i="9"/>
  <c r="DD68" i="9"/>
  <c r="DC68" i="9"/>
  <c r="DB68" i="9"/>
  <c r="DA68" i="9"/>
  <c r="CZ68" i="9"/>
  <c r="CY68" i="9"/>
  <c r="CX68" i="9"/>
  <c r="CW68" i="9"/>
  <c r="CV68" i="9"/>
  <c r="CU68" i="9"/>
  <c r="CT68" i="9"/>
  <c r="CR68" i="9"/>
  <c r="BW68" i="9"/>
  <c r="CS68" i="9" s="1"/>
  <c r="BU68" i="9"/>
  <c r="BS68" i="9"/>
  <c r="BR68" i="9"/>
  <c r="BQ68" i="9"/>
  <c r="BP68" i="9"/>
  <c r="BO68" i="9"/>
  <c r="BN68" i="9"/>
  <c r="BM68" i="9"/>
  <c r="BL68" i="9"/>
  <c r="BK68" i="9"/>
  <c r="BJ68" i="9"/>
  <c r="BI68" i="9"/>
  <c r="BH68" i="9"/>
  <c r="BG68" i="9"/>
  <c r="BF68" i="9"/>
  <c r="BE68" i="9"/>
  <c r="BD68" i="9"/>
  <c r="BC68" i="9"/>
  <c r="BB68" i="9"/>
  <c r="AZ68" i="9"/>
  <c r="AE68" i="9"/>
  <c r="BA68" i="9" s="1"/>
  <c r="G68" i="9"/>
  <c r="DJ67" i="9"/>
  <c r="DI67" i="9"/>
  <c r="DH67" i="9"/>
  <c r="DG67" i="9"/>
  <c r="DE67" i="9"/>
  <c r="DD67" i="9"/>
  <c r="DC67" i="9"/>
  <c r="DB67" i="9"/>
  <c r="DA67" i="9"/>
  <c r="CZ67" i="9"/>
  <c r="CY67" i="9"/>
  <c r="CX67" i="9"/>
  <c r="CW67" i="9"/>
  <c r="CV67" i="9"/>
  <c r="CU67" i="9"/>
  <c r="CT67" i="9"/>
  <c r="CS67" i="9"/>
  <c r="CR67" i="9"/>
  <c r="CJ67" i="9"/>
  <c r="BR67" i="9"/>
  <c r="BQ67" i="9"/>
  <c r="BP67" i="9"/>
  <c r="BO67" i="9"/>
  <c r="BM67" i="9"/>
  <c r="BL67" i="9"/>
  <c r="BK67" i="9"/>
  <c r="BJ67" i="9"/>
  <c r="BI67" i="9"/>
  <c r="BH67" i="9"/>
  <c r="BG67" i="9"/>
  <c r="BF67" i="9"/>
  <c r="BE67" i="9"/>
  <c r="BD67" i="9"/>
  <c r="BC67" i="9"/>
  <c r="BB67" i="9"/>
  <c r="BA67" i="9"/>
  <c r="AZ67" i="9"/>
  <c r="AW67" i="9"/>
  <c r="AR67" i="9"/>
  <c r="AA67" i="9"/>
  <c r="DK66" i="9"/>
  <c r="DJ66" i="9"/>
  <c r="DI66" i="9"/>
  <c r="DH66" i="9"/>
  <c r="DG66" i="9"/>
  <c r="DF66" i="9"/>
  <c r="DE66" i="9"/>
  <c r="DD66" i="9"/>
  <c r="DC66" i="9"/>
  <c r="DB66" i="9"/>
  <c r="DA66" i="9"/>
  <c r="CZ66" i="9"/>
  <c r="CY66" i="9"/>
  <c r="CX66" i="9"/>
  <c r="CW66" i="9"/>
  <c r="CV66" i="9"/>
  <c r="CU66" i="9"/>
  <c r="CT66" i="9"/>
  <c r="CR66" i="9"/>
  <c r="BW66" i="9"/>
  <c r="BS66" i="9"/>
  <c r="BR66" i="9"/>
  <c r="BQ66" i="9"/>
  <c r="BP66" i="9"/>
  <c r="BO66" i="9"/>
  <c r="BN66" i="9"/>
  <c r="BM66" i="9"/>
  <c r="BL66" i="9"/>
  <c r="BK66" i="9"/>
  <c r="BJ66" i="9"/>
  <c r="BI66" i="9"/>
  <c r="BH66" i="9"/>
  <c r="BG66" i="9"/>
  <c r="BF66" i="9"/>
  <c r="BE66" i="9"/>
  <c r="BD66" i="9"/>
  <c r="BC66" i="9"/>
  <c r="BB66" i="9"/>
  <c r="AZ66" i="9"/>
  <c r="AE66" i="9"/>
  <c r="G66" i="9"/>
  <c r="DJ65" i="9"/>
  <c r="DI65" i="9"/>
  <c r="DH65" i="9"/>
  <c r="DG65" i="9"/>
  <c r="DE65" i="9"/>
  <c r="DD65" i="9"/>
  <c r="DC65" i="9"/>
  <c r="DB65" i="9"/>
  <c r="DA65" i="9"/>
  <c r="CZ65" i="9"/>
  <c r="CY65" i="9"/>
  <c r="CX65" i="9"/>
  <c r="CW65" i="9"/>
  <c r="CV65" i="9"/>
  <c r="CU65" i="9"/>
  <c r="CT65" i="9"/>
  <c r="CS65" i="9"/>
  <c r="CR65" i="9"/>
  <c r="CO65" i="9"/>
  <c r="CJ65" i="9"/>
  <c r="BU65" i="9" s="1"/>
  <c r="BR65" i="9"/>
  <c r="BQ65" i="9"/>
  <c r="BP65" i="9"/>
  <c r="BO65" i="9"/>
  <c r="BM65" i="9"/>
  <c r="BL65" i="9"/>
  <c r="BK65" i="9"/>
  <c r="BJ65" i="9"/>
  <c r="BI65" i="9"/>
  <c r="BH65" i="9"/>
  <c r="BG65" i="9"/>
  <c r="BF65" i="9"/>
  <c r="BE65" i="9"/>
  <c r="BD65" i="9"/>
  <c r="BC65" i="9"/>
  <c r="BB65" i="9"/>
  <c r="BA65" i="9"/>
  <c r="AZ65" i="9"/>
  <c r="AW65" i="9"/>
  <c r="AR65" i="9"/>
  <c r="AC65" i="9" s="1"/>
  <c r="AA65" i="9"/>
  <c r="BS65" i="9" s="1"/>
  <c r="DK64" i="9"/>
  <c r="DJ64" i="9"/>
  <c r="DI64" i="9"/>
  <c r="DH64" i="9"/>
  <c r="DG64" i="9"/>
  <c r="DE64" i="9"/>
  <c r="DD64" i="9"/>
  <c r="DC64" i="9"/>
  <c r="DB64" i="9"/>
  <c r="DA64" i="9"/>
  <c r="CZ64" i="9"/>
  <c r="CY64" i="9"/>
  <c r="CX64" i="9"/>
  <c r="CW64" i="9"/>
  <c r="CV64" i="9"/>
  <c r="CU64" i="9"/>
  <c r="CT64" i="9"/>
  <c r="CS64" i="9"/>
  <c r="CR64" i="9"/>
  <c r="CO64" i="9"/>
  <c r="CJ64" i="9"/>
  <c r="BR64" i="9"/>
  <c r="BQ64" i="9"/>
  <c r="BP64" i="9"/>
  <c r="BO64" i="9"/>
  <c r="BM64" i="9"/>
  <c r="BL64" i="9"/>
  <c r="BK64" i="9"/>
  <c r="BJ64" i="9"/>
  <c r="BI64" i="9"/>
  <c r="BH64" i="9"/>
  <c r="BG64" i="9"/>
  <c r="BF64" i="9"/>
  <c r="BE64" i="9"/>
  <c r="BD64" i="9"/>
  <c r="BC64" i="9"/>
  <c r="BB64" i="9"/>
  <c r="BA64" i="9"/>
  <c r="AZ64" i="9"/>
  <c r="AW64" i="9"/>
  <c r="AR64" i="9"/>
  <c r="AA64" i="9"/>
  <c r="V64" i="9"/>
  <c r="DJ63" i="9"/>
  <c r="DI63" i="9"/>
  <c r="DH63" i="9"/>
  <c r="DG63" i="9"/>
  <c r="DF63" i="9"/>
  <c r="DE63" i="9"/>
  <c r="DD63" i="9"/>
  <c r="DB63" i="9"/>
  <c r="DA63" i="9"/>
  <c r="CZ63" i="9"/>
  <c r="CY63" i="9"/>
  <c r="CX63" i="9"/>
  <c r="CW63" i="9"/>
  <c r="CV63" i="9"/>
  <c r="CU63" i="9"/>
  <c r="CT63" i="9"/>
  <c r="CS63" i="9"/>
  <c r="CR63" i="9"/>
  <c r="CG63" i="9"/>
  <c r="BR63" i="9"/>
  <c r="BQ63" i="9"/>
  <c r="BP63" i="9"/>
  <c r="BO63" i="9"/>
  <c r="BN63" i="9"/>
  <c r="BM63" i="9"/>
  <c r="BL63" i="9"/>
  <c r="BJ63" i="9"/>
  <c r="BI63" i="9"/>
  <c r="BH63" i="9"/>
  <c r="BG63" i="9"/>
  <c r="BF63" i="9"/>
  <c r="BE63" i="9"/>
  <c r="BD63" i="9"/>
  <c r="BC63" i="9"/>
  <c r="BB63" i="9"/>
  <c r="BA63" i="9"/>
  <c r="AZ63" i="9"/>
  <c r="AO63" i="9"/>
  <c r="BK63" i="9" s="1"/>
  <c r="AA63" i="9"/>
  <c r="DK63" i="9" s="1"/>
  <c r="S63" i="9"/>
  <c r="DK62" i="9"/>
  <c r="DJ62" i="9"/>
  <c r="DI62" i="9"/>
  <c r="DH62" i="9"/>
  <c r="DG62" i="9"/>
  <c r="DE62" i="9"/>
  <c r="DD62" i="9"/>
  <c r="DC62" i="9"/>
  <c r="DB62" i="9"/>
  <c r="DA62" i="9"/>
  <c r="CZ62" i="9"/>
  <c r="CY62" i="9"/>
  <c r="CX62" i="9"/>
  <c r="CW62" i="9"/>
  <c r="CV62" i="9"/>
  <c r="CU62" i="9"/>
  <c r="CT62" i="9"/>
  <c r="CS62" i="9"/>
  <c r="CR62" i="9"/>
  <c r="CJ62" i="9"/>
  <c r="BS62" i="9"/>
  <c r="BR62" i="9"/>
  <c r="BQ62" i="9"/>
  <c r="BP62" i="9"/>
  <c r="BO62" i="9"/>
  <c r="BM62" i="9"/>
  <c r="BL62" i="9"/>
  <c r="BK62" i="9"/>
  <c r="BJ62" i="9"/>
  <c r="BI62" i="9"/>
  <c r="BH62" i="9"/>
  <c r="BG62" i="9"/>
  <c r="BF62" i="9"/>
  <c r="BE62" i="9"/>
  <c r="BD62" i="9"/>
  <c r="BC62" i="9"/>
  <c r="BB62" i="9"/>
  <c r="BA62" i="9"/>
  <c r="AZ62" i="9"/>
  <c r="AR62" i="9"/>
  <c r="AC62" i="9" s="1"/>
  <c r="AB62" i="9" s="1"/>
  <c r="AX62" i="9" s="1"/>
  <c r="V62" i="9"/>
  <c r="G62" i="9"/>
  <c r="DK61" i="9"/>
  <c r="DJ61" i="9"/>
  <c r="DI61" i="9"/>
  <c r="DH61" i="9"/>
  <c r="DG61" i="9"/>
  <c r="DE61" i="9"/>
  <c r="DD61" i="9"/>
  <c r="DC61" i="9"/>
  <c r="DB61" i="9"/>
  <c r="DA61" i="9"/>
  <c r="CZ61" i="9"/>
  <c r="CY61" i="9"/>
  <c r="CX61" i="9"/>
  <c r="CW61" i="9"/>
  <c r="CV61" i="9"/>
  <c r="CU61" i="9"/>
  <c r="CT61" i="9"/>
  <c r="CR61" i="9"/>
  <c r="BW61" i="9"/>
  <c r="CJ61" i="9" s="1"/>
  <c r="BR61" i="9"/>
  <c r="BQ61" i="9"/>
  <c r="BP61" i="9"/>
  <c r="BO61" i="9"/>
  <c r="BM61" i="9"/>
  <c r="BL61" i="9"/>
  <c r="BK61" i="9"/>
  <c r="BJ61" i="9"/>
  <c r="BI61" i="9"/>
  <c r="BH61" i="9"/>
  <c r="BG61" i="9"/>
  <c r="BF61" i="9"/>
  <c r="BE61" i="9"/>
  <c r="BD61" i="9"/>
  <c r="BC61" i="9"/>
  <c r="BB61" i="9"/>
  <c r="AZ61" i="9"/>
  <c r="AR61" i="9"/>
  <c r="AE61" i="9"/>
  <c r="BA61" i="9" s="1"/>
  <c r="AC61" i="9"/>
  <c r="AA61" i="9"/>
  <c r="BS61" i="9" s="1"/>
  <c r="V61" i="9"/>
  <c r="DJ60" i="9"/>
  <c r="DI60" i="9"/>
  <c r="DH60" i="9"/>
  <c r="DG60" i="9"/>
  <c r="DF60" i="9"/>
  <c r="DE60" i="9"/>
  <c r="DD60" i="9"/>
  <c r="DC60" i="9"/>
  <c r="DB60" i="9"/>
  <c r="DA60" i="9"/>
  <c r="CZ60" i="9"/>
  <c r="CY60" i="9"/>
  <c r="CX60" i="9"/>
  <c r="CW60" i="9"/>
  <c r="CV60" i="9"/>
  <c r="CU60" i="9"/>
  <c r="CT60" i="9"/>
  <c r="CS60" i="9"/>
  <c r="CR60" i="9"/>
  <c r="CO60" i="9"/>
  <c r="BU60" i="9" s="1"/>
  <c r="BR60" i="9"/>
  <c r="BQ60" i="9"/>
  <c r="BP60" i="9"/>
  <c r="BO60" i="9"/>
  <c r="BN60" i="9"/>
  <c r="BM60" i="9"/>
  <c r="BL60" i="9"/>
  <c r="BK60" i="9"/>
  <c r="BJ60" i="9"/>
  <c r="BI60" i="9"/>
  <c r="BH60" i="9"/>
  <c r="BG60" i="9"/>
  <c r="BF60" i="9"/>
  <c r="BE60" i="9"/>
  <c r="BD60" i="9"/>
  <c r="BC60" i="9"/>
  <c r="BB60" i="9"/>
  <c r="BA60" i="9"/>
  <c r="AZ60" i="9"/>
  <c r="AW60" i="9"/>
  <c r="AC60" i="9" s="1"/>
  <c r="AA60" i="9"/>
  <c r="DJ59" i="9"/>
  <c r="DI59" i="9"/>
  <c r="DH59" i="9"/>
  <c r="DG59" i="9"/>
  <c r="DF59" i="9"/>
  <c r="DE59" i="9"/>
  <c r="DD59" i="9"/>
  <c r="DC59" i="9"/>
  <c r="DB59" i="9"/>
  <c r="DA59" i="9"/>
  <c r="CZ59" i="9"/>
  <c r="CY59" i="9"/>
  <c r="CX59" i="9"/>
  <c r="CW59" i="9"/>
  <c r="CV59" i="9"/>
  <c r="CU59" i="9"/>
  <c r="CT59" i="9"/>
  <c r="CS59" i="9"/>
  <c r="CR59" i="9"/>
  <c r="BU59" i="9"/>
  <c r="BR59" i="9"/>
  <c r="BQ59" i="9"/>
  <c r="BP59" i="9"/>
  <c r="BO59" i="9"/>
  <c r="BN59" i="9"/>
  <c r="BM59" i="9"/>
  <c r="BL59" i="9"/>
  <c r="BK59" i="9"/>
  <c r="BJ59" i="9"/>
  <c r="BI59" i="9"/>
  <c r="BH59" i="9"/>
  <c r="BG59" i="9"/>
  <c r="BF59" i="9"/>
  <c r="BE59" i="9"/>
  <c r="BD59" i="9"/>
  <c r="BC59" i="9"/>
  <c r="BB59" i="9"/>
  <c r="BA59" i="9"/>
  <c r="AZ59" i="9"/>
  <c r="AC59" i="9"/>
  <c r="AA59" i="9"/>
  <c r="DK59" i="9" s="1"/>
  <c r="DJ58" i="9"/>
  <c r="DI58" i="9"/>
  <c r="DH58" i="9"/>
  <c r="DG58" i="9"/>
  <c r="DF58" i="9"/>
  <c r="DE58" i="9"/>
  <c r="DD58" i="9"/>
  <c r="DC58" i="9"/>
  <c r="DB58" i="9"/>
  <c r="DA58" i="9"/>
  <c r="CZ58" i="9"/>
  <c r="CY58" i="9"/>
  <c r="CX58" i="9"/>
  <c r="CW58" i="9"/>
  <c r="CV58" i="9"/>
  <c r="CU58" i="9"/>
  <c r="CT58" i="9"/>
  <c r="CR58" i="9"/>
  <c r="BW58" i="9"/>
  <c r="BR58" i="9"/>
  <c r="BQ58" i="9"/>
  <c r="BP58" i="9"/>
  <c r="BO58" i="9"/>
  <c r="BN58" i="9"/>
  <c r="BM58" i="9"/>
  <c r="BL58" i="9"/>
  <c r="BK58" i="9"/>
  <c r="BJ58" i="9"/>
  <c r="BI58" i="9"/>
  <c r="BH58" i="9"/>
  <c r="BG58" i="9"/>
  <c r="BF58" i="9"/>
  <c r="BE58" i="9"/>
  <c r="BD58" i="9"/>
  <c r="BC58" i="9"/>
  <c r="BB58" i="9"/>
  <c r="AZ58" i="9"/>
  <c r="AW58" i="9"/>
  <c r="AE58" i="9"/>
  <c r="AA58" i="9"/>
  <c r="CN57" i="9"/>
  <c r="CM57" i="9"/>
  <c r="CK57" i="9"/>
  <c r="CI57" i="9"/>
  <c r="CH57" i="9"/>
  <c r="CF57" i="9"/>
  <c r="CE57" i="9"/>
  <c r="CD57" i="9"/>
  <c r="CC57" i="9"/>
  <c r="CB57" i="9"/>
  <c r="CA57" i="9"/>
  <c r="BZ57" i="9"/>
  <c r="BV57" i="9"/>
  <c r="AV57" i="9"/>
  <c r="AU57" i="9"/>
  <c r="AS57" i="9"/>
  <c r="AQ57" i="9"/>
  <c r="AP57" i="9"/>
  <c r="AN57" i="9"/>
  <c r="AM57" i="9"/>
  <c r="AL57" i="9"/>
  <c r="AK57" i="9"/>
  <c r="AJ57" i="9"/>
  <c r="AI57" i="9"/>
  <c r="AH57" i="9"/>
  <c r="AD57" i="9"/>
  <c r="Z57" i="9"/>
  <c r="Y57" i="9"/>
  <c r="W57" i="9"/>
  <c r="U57" i="9"/>
  <c r="T57" i="9"/>
  <c r="R57" i="9"/>
  <c r="Q57" i="9"/>
  <c r="P57" i="9"/>
  <c r="O57" i="9"/>
  <c r="N57" i="9"/>
  <c r="M57" i="9"/>
  <c r="L57" i="9"/>
  <c r="J57" i="9"/>
  <c r="H57" i="9"/>
  <c r="DJ56" i="9"/>
  <c r="DI56" i="9"/>
  <c r="DH56" i="9"/>
  <c r="DG56" i="9"/>
  <c r="DF56" i="9"/>
  <c r="DE56" i="9"/>
  <c r="DD56" i="9"/>
  <c r="DC56" i="9"/>
  <c r="DB56" i="9"/>
  <c r="DA56" i="9"/>
  <c r="CZ56" i="9"/>
  <c r="CY56" i="9"/>
  <c r="CX56" i="9"/>
  <c r="CW56" i="9"/>
  <c r="CV56" i="9"/>
  <c r="CU56" i="9"/>
  <c r="CT56" i="9"/>
  <c r="CS56" i="9"/>
  <c r="CR56" i="9"/>
  <c r="CO56" i="9"/>
  <c r="BU56" i="9" s="1"/>
  <c r="BR56" i="9"/>
  <c r="BQ56" i="9"/>
  <c r="BP56" i="9"/>
  <c r="BO56" i="9"/>
  <c r="BN56" i="9"/>
  <c r="BM56" i="9"/>
  <c r="BL56" i="9"/>
  <c r="BK56" i="9"/>
  <c r="BJ56" i="9"/>
  <c r="BI56" i="9"/>
  <c r="BH56" i="9"/>
  <c r="BG56" i="9"/>
  <c r="BF56" i="9"/>
  <c r="BE56" i="9"/>
  <c r="BD56" i="9"/>
  <c r="BC56" i="9"/>
  <c r="BB56" i="9"/>
  <c r="BA56" i="9"/>
  <c r="AZ56" i="9"/>
  <c r="AW56" i="9"/>
  <c r="AC56" i="9" s="1"/>
  <c r="AA56" i="9"/>
  <c r="DK56" i="9" s="1"/>
  <c r="DK55" i="9"/>
  <c r="DJ55" i="9"/>
  <c r="DI55" i="9"/>
  <c r="DH55" i="9"/>
  <c r="DG55" i="9"/>
  <c r="DF55" i="9"/>
  <c r="DE55" i="9"/>
  <c r="DD55" i="9"/>
  <c r="DC55" i="9"/>
  <c r="DB55" i="9"/>
  <c r="DA55" i="9"/>
  <c r="CZ55" i="9"/>
  <c r="CY55" i="9"/>
  <c r="CX55" i="9"/>
  <c r="CW55" i="9"/>
  <c r="CV55" i="9"/>
  <c r="CT55" i="9"/>
  <c r="CR55" i="9"/>
  <c r="BW55" i="9"/>
  <c r="BY55" i="9" s="1"/>
  <c r="BY121" i="9" s="1"/>
  <c r="BS55" i="9"/>
  <c r="BR55" i="9"/>
  <c r="BQ55" i="9"/>
  <c r="BP55" i="9"/>
  <c r="BO55" i="9"/>
  <c r="BN55" i="9"/>
  <c r="BM55" i="9"/>
  <c r="BL55" i="9"/>
  <c r="BK55" i="9"/>
  <c r="BJ55" i="9"/>
  <c r="BI55" i="9"/>
  <c r="BH55" i="9"/>
  <c r="BG55" i="9"/>
  <c r="BF55" i="9"/>
  <c r="BE55" i="9"/>
  <c r="BD55" i="9"/>
  <c r="BB55" i="9"/>
  <c r="AZ55" i="9"/>
  <c r="AG55" i="9"/>
  <c r="AG121" i="9" s="1"/>
  <c r="AE55" i="9"/>
  <c r="K55" i="9"/>
  <c r="I55" i="9"/>
  <c r="DK54" i="9"/>
  <c r="DJ54" i="9"/>
  <c r="DI54" i="9"/>
  <c r="DH54" i="9"/>
  <c r="DG54" i="9"/>
  <c r="DF54" i="9"/>
  <c r="DE54" i="9"/>
  <c r="DD54" i="9"/>
  <c r="DC54" i="9"/>
  <c r="DB54" i="9"/>
  <c r="DA54" i="9"/>
  <c r="CZ54" i="9"/>
  <c r="CY54" i="9"/>
  <c r="CX54" i="9"/>
  <c r="CW54" i="9"/>
  <c r="CV54" i="9"/>
  <c r="CU54" i="9"/>
  <c r="CT54" i="9"/>
  <c r="CR54" i="9"/>
  <c r="BW54" i="9"/>
  <c r="BS54" i="9"/>
  <c r="BR54" i="9"/>
  <c r="BQ54" i="9"/>
  <c r="BP54" i="9"/>
  <c r="BO54" i="9"/>
  <c r="BN54" i="9"/>
  <c r="BM54" i="9"/>
  <c r="BL54" i="9"/>
  <c r="BK54" i="9"/>
  <c r="BJ54" i="9"/>
  <c r="BI54" i="9"/>
  <c r="BH54" i="9"/>
  <c r="BG54" i="9"/>
  <c r="BF54" i="9"/>
  <c r="BE54" i="9"/>
  <c r="BD54" i="9"/>
  <c r="BC54" i="9"/>
  <c r="BB54" i="9"/>
  <c r="AZ54" i="9"/>
  <c r="AE54" i="9"/>
  <c r="AC54" i="9"/>
  <c r="I54" i="9"/>
  <c r="DK53" i="9"/>
  <c r="DJ53" i="9"/>
  <c r="DI53" i="9"/>
  <c r="DH53" i="9"/>
  <c r="DG53" i="9"/>
  <c r="DF53" i="9"/>
  <c r="DE53" i="9"/>
  <c r="DD53" i="9"/>
  <c r="DC53" i="9"/>
  <c r="DB53" i="9"/>
  <c r="DA53" i="9"/>
  <c r="CZ53" i="9"/>
  <c r="CY53" i="9"/>
  <c r="CX53" i="9"/>
  <c r="CW53" i="9"/>
  <c r="CV53" i="9"/>
  <c r="CT53" i="9"/>
  <c r="CS53" i="9"/>
  <c r="CR53" i="9"/>
  <c r="BU53" i="9"/>
  <c r="BS53" i="9"/>
  <c r="BR53" i="9"/>
  <c r="BQ53" i="9"/>
  <c r="BP53" i="9"/>
  <c r="BO53" i="9"/>
  <c r="BN53" i="9"/>
  <c r="BM53" i="9"/>
  <c r="BL53" i="9"/>
  <c r="BK53" i="9"/>
  <c r="BJ53" i="9"/>
  <c r="BI53" i="9"/>
  <c r="BH53" i="9"/>
  <c r="BG53" i="9"/>
  <c r="BF53" i="9"/>
  <c r="BE53" i="9"/>
  <c r="BD53" i="9"/>
  <c r="BB53" i="9"/>
  <c r="BA53" i="9"/>
  <c r="AZ53" i="9"/>
  <c r="AF53" i="9"/>
  <c r="AC53" i="9" s="1"/>
  <c r="K53" i="9"/>
  <c r="G53" i="9" s="1"/>
  <c r="DK52" i="9"/>
  <c r="DJ52" i="9"/>
  <c r="DI52" i="9"/>
  <c r="DH52" i="9"/>
  <c r="DG52" i="9"/>
  <c r="DF52" i="9"/>
  <c r="DE52" i="9"/>
  <c r="DD52" i="9"/>
  <c r="DC52" i="9"/>
  <c r="DB52" i="9"/>
  <c r="DA52" i="9"/>
  <c r="CZ52" i="9"/>
  <c r="CY52" i="9"/>
  <c r="CX52" i="9"/>
  <c r="CW52" i="9"/>
  <c r="CV52" i="9"/>
  <c r="CU52" i="9"/>
  <c r="CS52" i="9"/>
  <c r="CR52" i="9"/>
  <c r="BX52" i="9"/>
  <c r="BS52" i="9"/>
  <c r="BR52" i="9"/>
  <c r="BQ52" i="9"/>
  <c r="BP52" i="9"/>
  <c r="BO52" i="9"/>
  <c r="BN52" i="9"/>
  <c r="BM52" i="9"/>
  <c r="BL52" i="9"/>
  <c r="BK52" i="9"/>
  <c r="BJ52" i="9"/>
  <c r="BI52" i="9"/>
  <c r="BH52" i="9"/>
  <c r="BG52" i="9"/>
  <c r="BF52" i="9"/>
  <c r="BE52" i="9"/>
  <c r="BD52" i="9"/>
  <c r="BC52" i="9"/>
  <c r="BA52" i="9"/>
  <c r="AZ52" i="9"/>
  <c r="AF52" i="9"/>
  <c r="G52" i="9"/>
  <c r="DK51" i="9"/>
  <c r="DJ51" i="9"/>
  <c r="DI51" i="9"/>
  <c r="DH51" i="9"/>
  <c r="DG51" i="9"/>
  <c r="DF51" i="9"/>
  <c r="DE51" i="9"/>
  <c r="DD51" i="9"/>
  <c r="DC51" i="9"/>
  <c r="DB51" i="9"/>
  <c r="DA51" i="9"/>
  <c r="CZ51" i="9"/>
  <c r="CY51" i="9"/>
  <c r="CX51" i="9"/>
  <c r="CW51" i="9"/>
  <c r="CV51" i="9"/>
  <c r="CU51" i="9"/>
  <c r="CT51" i="9"/>
  <c r="CS51" i="9"/>
  <c r="CR51" i="9"/>
  <c r="CO51" i="9"/>
  <c r="BU51" i="9" s="1"/>
  <c r="BR51" i="9"/>
  <c r="BQ51" i="9"/>
  <c r="BP51" i="9"/>
  <c r="BO51" i="9"/>
  <c r="BN51" i="9"/>
  <c r="BM51" i="9"/>
  <c r="BL51" i="9"/>
  <c r="BK51" i="9"/>
  <c r="BJ51" i="9"/>
  <c r="BI51" i="9"/>
  <c r="BH51" i="9"/>
  <c r="BG51" i="9"/>
  <c r="BF51" i="9"/>
  <c r="BE51" i="9"/>
  <c r="BD51" i="9"/>
  <c r="BC51" i="9"/>
  <c r="BB51" i="9"/>
  <c r="BA51" i="9"/>
  <c r="AZ51" i="9"/>
  <c r="AW51" i="9"/>
  <c r="AC51" i="9" s="1"/>
  <c r="G51" i="9"/>
  <c r="DJ50" i="9"/>
  <c r="DI50" i="9"/>
  <c r="DH50" i="9"/>
  <c r="DG50" i="9"/>
  <c r="DF50" i="9"/>
  <c r="DE50" i="9"/>
  <c r="DD50" i="9"/>
  <c r="DC50" i="9"/>
  <c r="DB50" i="9"/>
  <c r="DA50" i="9"/>
  <c r="CZ50" i="9"/>
  <c r="CY50" i="9"/>
  <c r="CX50" i="9"/>
  <c r="CW50" i="9"/>
  <c r="CV50" i="9"/>
  <c r="CU50" i="9"/>
  <c r="CS50" i="9"/>
  <c r="CR50" i="9"/>
  <c r="BX50" i="9"/>
  <c r="CT50" i="9" s="1"/>
  <c r="BR50" i="9"/>
  <c r="BQ50" i="9"/>
  <c r="BP50" i="9"/>
  <c r="BO50" i="9"/>
  <c r="BN50" i="9"/>
  <c r="BM50" i="9"/>
  <c r="BL50" i="9"/>
  <c r="BK50" i="9"/>
  <c r="BJ50" i="9"/>
  <c r="BI50" i="9"/>
  <c r="BH50" i="9"/>
  <c r="BG50" i="9"/>
  <c r="BF50" i="9"/>
  <c r="BE50" i="9"/>
  <c r="BD50" i="9"/>
  <c r="BC50" i="9"/>
  <c r="BA50" i="9"/>
  <c r="AZ50" i="9"/>
  <c r="AF50" i="9"/>
  <c r="AA50" i="9"/>
  <c r="DK50" i="9" s="1"/>
  <c r="DK49" i="9"/>
  <c r="DJ49" i="9"/>
  <c r="DI49" i="9"/>
  <c r="DH49" i="9"/>
  <c r="DG49" i="9"/>
  <c r="DE49" i="9"/>
  <c r="DD49" i="9"/>
  <c r="DC49" i="9"/>
  <c r="DB49" i="9"/>
  <c r="DA49" i="9"/>
  <c r="CZ49" i="9"/>
  <c r="CY49" i="9"/>
  <c r="CX49" i="9"/>
  <c r="CW49" i="9"/>
  <c r="CV49" i="9"/>
  <c r="CU49" i="9"/>
  <c r="CT49" i="9"/>
  <c r="CR49" i="9"/>
  <c r="BW49" i="9"/>
  <c r="CS49" i="9" s="1"/>
  <c r="BS49" i="9"/>
  <c r="BR49" i="9"/>
  <c r="BQ49" i="9"/>
  <c r="BP49" i="9"/>
  <c r="BO49" i="9"/>
  <c r="BM49" i="9"/>
  <c r="BL49" i="9"/>
  <c r="BK49" i="9"/>
  <c r="BJ49" i="9"/>
  <c r="BI49" i="9"/>
  <c r="BH49" i="9"/>
  <c r="BG49" i="9"/>
  <c r="BF49" i="9"/>
  <c r="BE49" i="9"/>
  <c r="BD49" i="9"/>
  <c r="BC49" i="9"/>
  <c r="BB49" i="9"/>
  <c r="AZ49" i="9"/>
  <c r="AR49" i="9"/>
  <c r="BN49" i="9" s="1"/>
  <c r="AE49" i="9"/>
  <c r="BA49" i="9" s="1"/>
  <c r="AC49" i="9"/>
  <c r="AB49" i="9" s="1"/>
  <c r="AX49" i="9" s="1"/>
  <c r="G49" i="9"/>
  <c r="DF48" i="9"/>
  <c r="CQ48" i="9" s="1"/>
  <c r="BU48" i="9"/>
  <c r="BN48" i="9"/>
  <c r="AY48" i="9"/>
  <c r="AC48" i="9"/>
  <c r="G48" i="9"/>
  <c r="BT48" i="9" s="1"/>
  <c r="CP48" i="9" s="1"/>
  <c r="DF47" i="9"/>
  <c r="CQ47" i="9" s="1"/>
  <c r="BU47" i="9"/>
  <c r="BN47" i="9"/>
  <c r="AY47" i="9" s="1"/>
  <c r="AC47" i="9"/>
  <c r="G47" i="9"/>
  <c r="DK46" i="9"/>
  <c r="DJ46" i="9"/>
  <c r="DI46" i="9"/>
  <c r="DH46" i="9"/>
  <c r="DG46" i="9"/>
  <c r="DE46" i="9"/>
  <c r="DD46" i="9"/>
  <c r="DC46" i="9"/>
  <c r="DB46" i="9"/>
  <c r="DA46" i="9"/>
  <c r="CZ46" i="9"/>
  <c r="CY46" i="9"/>
  <c r="CX46" i="9"/>
  <c r="CW46" i="9"/>
  <c r="CV46" i="9"/>
  <c r="CU46" i="9"/>
  <c r="CT46" i="9"/>
  <c r="CR46" i="9"/>
  <c r="BW46" i="9"/>
  <c r="BU46" i="9" s="1"/>
  <c r="BS46" i="9"/>
  <c r="BR46" i="9"/>
  <c r="BQ46" i="9"/>
  <c r="BP46" i="9"/>
  <c r="BO46" i="9"/>
  <c r="BM46" i="9"/>
  <c r="BL46" i="9"/>
  <c r="BK46" i="9"/>
  <c r="BJ46" i="9"/>
  <c r="BI46" i="9"/>
  <c r="BH46" i="9"/>
  <c r="BG46" i="9"/>
  <c r="BF46" i="9"/>
  <c r="BE46" i="9"/>
  <c r="BD46" i="9"/>
  <c r="BC46" i="9"/>
  <c r="BB46" i="9"/>
  <c r="AZ46" i="9"/>
  <c r="AR46" i="9"/>
  <c r="BN46" i="9" s="1"/>
  <c r="AE46" i="9"/>
  <c r="V46" i="9"/>
  <c r="DF46" i="9" s="1"/>
  <c r="I46" i="9"/>
  <c r="DK45" i="9"/>
  <c r="DJ45" i="9"/>
  <c r="DI45" i="9"/>
  <c r="DH45" i="9"/>
  <c r="DG45" i="9"/>
  <c r="DF45" i="9"/>
  <c r="DE45" i="9"/>
  <c r="DD45" i="9"/>
  <c r="DB45" i="9"/>
  <c r="DA45" i="9"/>
  <c r="CZ45" i="9"/>
  <c r="CY45" i="9"/>
  <c r="CX45" i="9"/>
  <c r="CW45" i="9"/>
  <c r="CV45" i="9"/>
  <c r="CU45" i="9"/>
  <c r="CT45" i="9"/>
  <c r="CS45" i="9"/>
  <c r="CR45" i="9"/>
  <c r="CG45" i="9"/>
  <c r="CG121" i="9" s="1"/>
  <c r="BS45" i="9"/>
  <c r="BR45" i="9"/>
  <c r="BQ45" i="9"/>
  <c r="BP45" i="9"/>
  <c r="BO45" i="9"/>
  <c r="BN45" i="9"/>
  <c r="BM45" i="9"/>
  <c r="BL45" i="9"/>
  <c r="BJ45" i="9"/>
  <c r="BI45" i="9"/>
  <c r="BH45" i="9"/>
  <c r="BG45" i="9"/>
  <c r="BF45" i="9"/>
  <c r="BE45" i="9"/>
  <c r="BD45" i="9"/>
  <c r="BC45" i="9"/>
  <c r="BB45" i="9"/>
  <c r="BA45" i="9"/>
  <c r="AZ45" i="9"/>
  <c r="AO45" i="9"/>
  <c r="BK45" i="9" s="1"/>
  <c r="S45" i="9"/>
  <c r="S121" i="9" s="1"/>
  <c r="DJ44" i="9"/>
  <c r="DI44" i="9"/>
  <c r="DH44" i="9"/>
  <c r="DG44" i="9"/>
  <c r="DF44" i="9"/>
  <c r="DE44" i="9"/>
  <c r="DD44" i="9"/>
  <c r="DC44" i="9"/>
  <c r="DB44" i="9"/>
  <c r="DA44" i="9"/>
  <c r="CZ44" i="9"/>
  <c r="CY44" i="9"/>
  <c r="CX44" i="9"/>
  <c r="CW44" i="9"/>
  <c r="CV44" i="9"/>
  <c r="CU44" i="9"/>
  <c r="CT44" i="9"/>
  <c r="CS44" i="9"/>
  <c r="CR44" i="9"/>
  <c r="CO44" i="9"/>
  <c r="BU44" i="9" s="1"/>
  <c r="BR44" i="9"/>
  <c r="BQ44" i="9"/>
  <c r="BP44" i="9"/>
  <c r="BO44" i="9"/>
  <c r="BN44" i="9"/>
  <c r="BM44" i="9"/>
  <c r="BL44" i="9"/>
  <c r="BK44" i="9"/>
  <c r="BJ44" i="9"/>
  <c r="BI44" i="9"/>
  <c r="BH44" i="9"/>
  <c r="BG44" i="9"/>
  <c r="BF44" i="9"/>
  <c r="BE44" i="9"/>
  <c r="BD44" i="9"/>
  <c r="BC44" i="9"/>
  <c r="BB44" i="9"/>
  <c r="BA44" i="9"/>
  <c r="AZ44" i="9"/>
  <c r="AW44" i="9"/>
  <c r="BS44" i="9" s="1"/>
  <c r="AC44" i="9"/>
  <c r="G44" i="9"/>
  <c r="DK43" i="9"/>
  <c r="DJ43" i="9"/>
  <c r="DI43" i="9"/>
  <c r="DH43" i="9"/>
  <c r="DG43" i="9"/>
  <c r="DF43" i="9"/>
  <c r="DE43" i="9"/>
  <c r="DD43" i="9"/>
  <c r="DC43" i="9"/>
  <c r="DB43" i="9"/>
  <c r="DA43" i="9"/>
  <c r="CZ43" i="9"/>
  <c r="CY43" i="9"/>
  <c r="CX43" i="9"/>
  <c r="CW43" i="9"/>
  <c r="CV43" i="9"/>
  <c r="CU43" i="9"/>
  <c r="CT43" i="9"/>
  <c r="CS43" i="9"/>
  <c r="CR43" i="9"/>
  <c r="BX43" i="9"/>
  <c r="BU43" i="9" s="1"/>
  <c r="BS43" i="9"/>
  <c r="BR43" i="9"/>
  <c r="BQ43" i="9"/>
  <c r="BP43" i="9"/>
  <c r="BO43" i="9"/>
  <c r="BN43" i="9"/>
  <c r="BM43" i="9"/>
  <c r="BL43" i="9"/>
  <c r="BK43" i="9"/>
  <c r="BJ43" i="9"/>
  <c r="BI43" i="9"/>
  <c r="BH43" i="9"/>
  <c r="BG43" i="9"/>
  <c r="BF43" i="9"/>
  <c r="BE43" i="9"/>
  <c r="BD43" i="9"/>
  <c r="BC43" i="9"/>
  <c r="BA43" i="9"/>
  <c r="AZ43" i="9"/>
  <c r="AF43" i="9"/>
  <c r="AC43" i="9" s="1"/>
  <c r="G43" i="9"/>
  <c r="DK42" i="9"/>
  <c r="CQ42" i="9" s="1"/>
  <c r="BU42" i="9"/>
  <c r="BT42" i="9"/>
  <c r="CP42" i="9" s="1"/>
  <c r="BS42" i="9"/>
  <c r="AY42" i="9" s="1"/>
  <c r="AC42" i="9"/>
  <c r="AB42" i="9" s="1"/>
  <c r="AX42" i="9" s="1"/>
  <c r="G42" i="9"/>
  <c r="DK41" i="9"/>
  <c r="DJ41" i="9"/>
  <c r="DI41" i="9"/>
  <c r="DH41" i="9"/>
  <c r="DG41" i="9"/>
  <c r="DF41" i="9"/>
  <c r="DE41" i="9"/>
  <c r="DD41" i="9"/>
  <c r="DC41" i="9"/>
  <c r="DB41" i="9"/>
  <c r="DA41" i="9"/>
  <c r="CZ41" i="9"/>
  <c r="CY41" i="9"/>
  <c r="CX41" i="9"/>
  <c r="CW41" i="9"/>
  <c r="CV41" i="9"/>
  <c r="CU41" i="9"/>
  <c r="CS41" i="9"/>
  <c r="CR41" i="9"/>
  <c r="BX41" i="9"/>
  <c r="BS41" i="9"/>
  <c r="BR41" i="9"/>
  <c r="BQ41" i="9"/>
  <c r="BP41" i="9"/>
  <c r="BO41" i="9"/>
  <c r="BN41" i="9"/>
  <c r="BM41" i="9"/>
  <c r="BL41" i="9"/>
  <c r="BK41" i="9"/>
  <c r="BJ41" i="9"/>
  <c r="BI41" i="9"/>
  <c r="BH41" i="9"/>
  <c r="BG41" i="9"/>
  <c r="BF41" i="9"/>
  <c r="BE41" i="9"/>
  <c r="BD41" i="9"/>
  <c r="BC41" i="9"/>
  <c r="BB41" i="9"/>
  <c r="BA41" i="9"/>
  <c r="AZ41" i="9"/>
  <c r="AF41" i="9"/>
  <c r="AC41" i="9"/>
  <c r="G41" i="9"/>
  <c r="DK40" i="9"/>
  <c r="DJ40" i="9"/>
  <c r="DI40" i="9"/>
  <c r="DH40" i="9"/>
  <c r="DG40" i="9"/>
  <c r="DE40" i="9"/>
  <c r="DD40" i="9"/>
  <c r="DC40" i="9"/>
  <c r="DB40" i="9"/>
  <c r="DA40" i="9"/>
  <c r="CZ40" i="9"/>
  <c r="CY40" i="9"/>
  <c r="CX40" i="9"/>
  <c r="CW40" i="9"/>
  <c r="CV40" i="9"/>
  <c r="CU40" i="9"/>
  <c r="CS40" i="9"/>
  <c r="CR40" i="9"/>
  <c r="BX40" i="9"/>
  <c r="CT40" i="9" s="1"/>
  <c r="BR40" i="9"/>
  <c r="BQ40" i="9"/>
  <c r="BP40" i="9"/>
  <c r="BO40" i="9"/>
  <c r="BM40" i="9"/>
  <c r="BL40" i="9"/>
  <c r="BK40" i="9"/>
  <c r="BJ40" i="9"/>
  <c r="BI40" i="9"/>
  <c r="BH40" i="9"/>
  <c r="BG40" i="9"/>
  <c r="BF40" i="9"/>
  <c r="BE40" i="9"/>
  <c r="BD40" i="9"/>
  <c r="BC40" i="9"/>
  <c r="BA40" i="9"/>
  <c r="AZ40" i="9"/>
  <c r="AW40" i="9"/>
  <c r="BS40" i="9" s="1"/>
  <c r="AF40" i="9"/>
  <c r="AC40" i="9" s="1"/>
  <c r="V40" i="9"/>
  <c r="G40" i="9" s="1"/>
  <c r="DK39" i="9"/>
  <c r="DJ39" i="9"/>
  <c r="DI39" i="9"/>
  <c r="DH39" i="9"/>
  <c r="DG39" i="9"/>
  <c r="DE39" i="9"/>
  <c r="DD39" i="9"/>
  <c r="DC39" i="9"/>
  <c r="DB39" i="9"/>
  <c r="DA39" i="9"/>
  <c r="CZ39" i="9"/>
  <c r="CY39" i="9"/>
  <c r="CX39" i="9"/>
  <c r="CW39" i="9"/>
  <c r="CV39" i="9"/>
  <c r="CU39" i="9"/>
  <c r="CS39" i="9"/>
  <c r="CR39" i="9"/>
  <c r="BX39" i="9"/>
  <c r="CT39" i="9" s="1"/>
  <c r="BS39" i="9"/>
  <c r="BR39" i="9"/>
  <c r="BQ39" i="9"/>
  <c r="BP39" i="9"/>
  <c r="BO39" i="9"/>
  <c r="BM39" i="9"/>
  <c r="BL39" i="9"/>
  <c r="BK39" i="9"/>
  <c r="BJ39" i="9"/>
  <c r="BI39" i="9"/>
  <c r="BH39" i="9"/>
  <c r="BG39" i="9"/>
  <c r="BF39" i="9"/>
  <c r="BE39" i="9"/>
  <c r="BD39" i="9"/>
  <c r="BC39" i="9"/>
  <c r="BA39" i="9"/>
  <c r="AZ39" i="9"/>
  <c r="AF39" i="9"/>
  <c r="BB39" i="9" s="1"/>
  <c r="AC39" i="9"/>
  <c r="V39" i="9"/>
  <c r="BN39" i="9" s="1"/>
  <c r="DK38" i="9"/>
  <c r="DJ38" i="9"/>
  <c r="DI38" i="9"/>
  <c r="DG38" i="9"/>
  <c r="DF38" i="9"/>
  <c r="DE38" i="9"/>
  <c r="DD38" i="9"/>
  <c r="DC38" i="9"/>
  <c r="DB38" i="9"/>
  <c r="DA38" i="9"/>
  <c r="CZ38" i="9"/>
  <c r="CY38" i="9"/>
  <c r="CX38" i="9"/>
  <c r="CW38" i="9"/>
  <c r="CV38" i="9"/>
  <c r="CU38" i="9"/>
  <c r="CT38" i="9"/>
  <c r="CR38" i="9"/>
  <c r="CL38" i="9"/>
  <c r="CL121" i="9" s="1"/>
  <c r="BW38" i="9"/>
  <c r="CS38" i="9" s="1"/>
  <c r="BS38" i="9"/>
  <c r="BR38" i="9"/>
  <c r="BQ38" i="9"/>
  <c r="BO38" i="9"/>
  <c r="BN38" i="9"/>
  <c r="BM38" i="9"/>
  <c r="BL38" i="9"/>
  <c r="BK38" i="9"/>
  <c r="BJ38" i="9"/>
  <c r="BI38" i="9"/>
  <c r="BH38" i="9"/>
  <c r="BG38" i="9"/>
  <c r="BF38" i="9"/>
  <c r="BE38" i="9"/>
  <c r="BD38" i="9"/>
  <c r="BC38" i="9"/>
  <c r="BB38" i="9"/>
  <c r="AZ38" i="9"/>
  <c r="AT38" i="9"/>
  <c r="AT121" i="9" s="1"/>
  <c r="AE38" i="9"/>
  <c r="X38" i="9"/>
  <c r="X121" i="9" s="1"/>
  <c r="X125" i="9" s="1"/>
  <c r="X127" i="9" s="1"/>
  <c r="DJ37" i="9"/>
  <c r="DI37" i="9"/>
  <c r="DH37" i="9"/>
  <c r="DG37" i="9"/>
  <c r="DF37" i="9"/>
  <c r="DE37" i="9"/>
  <c r="DD37" i="9"/>
  <c r="DC37" i="9"/>
  <c r="DB37" i="9"/>
  <c r="DA37" i="9"/>
  <c r="CZ37" i="9"/>
  <c r="CY37" i="9"/>
  <c r="CX37" i="9"/>
  <c r="CW37" i="9"/>
  <c r="CV37" i="9"/>
  <c r="CU37" i="9"/>
  <c r="CT37" i="9"/>
  <c r="CS37" i="9"/>
  <c r="CR37" i="9"/>
  <c r="CO37" i="9"/>
  <c r="BU37" i="9" s="1"/>
  <c r="BR37" i="9"/>
  <c r="BQ37" i="9"/>
  <c r="BP37" i="9"/>
  <c r="BO37" i="9"/>
  <c r="BN37" i="9"/>
  <c r="BM37" i="9"/>
  <c r="BL37" i="9"/>
  <c r="BK37" i="9"/>
  <c r="BJ37" i="9"/>
  <c r="BI37" i="9"/>
  <c r="BH37" i="9"/>
  <c r="BG37" i="9"/>
  <c r="BF37" i="9"/>
  <c r="BE37" i="9"/>
  <c r="BD37" i="9"/>
  <c r="BC37" i="9"/>
  <c r="BB37" i="9"/>
  <c r="BA37" i="9"/>
  <c r="AZ37" i="9"/>
  <c r="AW37" i="9"/>
  <c r="BS37" i="9" s="1"/>
  <c r="AC37" i="9"/>
  <c r="G37" i="9"/>
  <c r="DJ36" i="9"/>
  <c r="DI36" i="9"/>
  <c r="DH36" i="9"/>
  <c r="DG36" i="9"/>
  <c r="DF36" i="9"/>
  <c r="DE36" i="9"/>
  <c r="DD36" i="9"/>
  <c r="DC36" i="9"/>
  <c r="DB36" i="9"/>
  <c r="DA36" i="9"/>
  <c r="CZ36" i="9"/>
  <c r="CY36" i="9"/>
  <c r="CX36" i="9"/>
  <c r="CW36" i="9"/>
  <c r="CV36" i="9"/>
  <c r="CU36" i="9"/>
  <c r="CT36" i="9"/>
  <c r="CS36" i="9"/>
  <c r="CR36" i="9"/>
  <c r="CO36" i="9"/>
  <c r="BX36" i="9"/>
  <c r="BR36" i="9"/>
  <c r="BQ36" i="9"/>
  <c r="BP36" i="9"/>
  <c r="BO36" i="9"/>
  <c r="BN36" i="9"/>
  <c r="BM36" i="9"/>
  <c r="BL36" i="9"/>
  <c r="BK36" i="9"/>
  <c r="BJ36" i="9"/>
  <c r="BI36" i="9"/>
  <c r="BH36" i="9"/>
  <c r="BG36" i="9"/>
  <c r="BF36" i="9"/>
  <c r="BE36" i="9"/>
  <c r="BD36" i="9"/>
  <c r="BC36" i="9"/>
  <c r="BA36" i="9"/>
  <c r="AZ36" i="9"/>
  <c r="AW36" i="9"/>
  <c r="BS36" i="9" s="1"/>
  <c r="AF36" i="9"/>
  <c r="BB36" i="9" s="1"/>
  <c r="G36" i="9"/>
  <c r="DJ35" i="9"/>
  <c r="DI35" i="9"/>
  <c r="DH35" i="9"/>
  <c r="DG35" i="9"/>
  <c r="DF35" i="9"/>
  <c r="DE35" i="9"/>
  <c r="DD35" i="9"/>
  <c r="DC35" i="9"/>
  <c r="DB35" i="9"/>
  <c r="DA35" i="9"/>
  <c r="CZ35" i="9"/>
  <c r="CY35" i="9"/>
  <c r="CX35" i="9"/>
  <c r="CW35" i="9"/>
  <c r="CV35" i="9"/>
  <c r="CU35" i="9"/>
  <c r="CT35" i="9"/>
  <c r="CR35" i="9"/>
  <c r="CO35" i="9"/>
  <c r="BW35" i="9"/>
  <c r="BR35" i="9"/>
  <c r="BQ35" i="9"/>
  <c r="BP35" i="9"/>
  <c r="BO35" i="9"/>
  <c r="BN35" i="9"/>
  <c r="BM35" i="9"/>
  <c r="BL35" i="9"/>
  <c r="BK35" i="9"/>
  <c r="BJ35" i="9"/>
  <c r="BI35" i="9"/>
  <c r="BH35" i="9"/>
  <c r="BG35" i="9"/>
  <c r="BF35" i="9"/>
  <c r="BE35" i="9"/>
  <c r="BD35" i="9"/>
  <c r="BC35" i="9"/>
  <c r="BB35" i="9"/>
  <c r="AZ35" i="9"/>
  <c r="AW35" i="9"/>
  <c r="AE35" i="9"/>
  <c r="AA35" i="9"/>
  <c r="DK34" i="9"/>
  <c r="DJ34" i="9"/>
  <c r="DI34" i="9"/>
  <c r="DH34" i="9"/>
  <c r="DG34" i="9"/>
  <c r="DF34" i="9"/>
  <c r="DE34" i="9"/>
  <c r="DD34" i="9"/>
  <c r="DC34" i="9"/>
  <c r="DB34" i="9"/>
  <c r="DA34" i="9"/>
  <c r="CZ34" i="9"/>
  <c r="CY34" i="9"/>
  <c r="CX34" i="9"/>
  <c r="CW34" i="9"/>
  <c r="CV34" i="9"/>
  <c r="CU34" i="9"/>
  <c r="CT34" i="9"/>
  <c r="CR34" i="9"/>
  <c r="BW34" i="9"/>
  <c r="CS34" i="9" s="1"/>
  <c r="BU34" i="9"/>
  <c r="BS34" i="9"/>
  <c r="BR34" i="9"/>
  <c r="BQ34" i="9"/>
  <c r="BP34" i="9"/>
  <c r="BO34" i="9"/>
  <c r="BN34" i="9"/>
  <c r="BM34" i="9"/>
  <c r="BL34" i="9"/>
  <c r="BK34" i="9"/>
  <c r="BJ34" i="9"/>
  <c r="BI34" i="9"/>
  <c r="BH34" i="9"/>
  <c r="BG34" i="9"/>
  <c r="BF34" i="9"/>
  <c r="BE34" i="9"/>
  <c r="BD34" i="9"/>
  <c r="BC34" i="9"/>
  <c r="BB34" i="9"/>
  <c r="AZ34" i="9"/>
  <c r="AE34" i="9"/>
  <c r="BA34" i="9" s="1"/>
  <c r="G34" i="9"/>
  <c r="DK33" i="9"/>
  <c r="DJ33" i="9"/>
  <c r="DI33" i="9"/>
  <c r="DH33" i="9"/>
  <c r="DG33" i="9"/>
  <c r="DF33" i="9"/>
  <c r="DE33" i="9"/>
  <c r="DD33" i="9"/>
  <c r="DC33" i="9"/>
  <c r="DB33" i="9"/>
  <c r="DA33" i="9"/>
  <c r="CZ33" i="9"/>
  <c r="CY33" i="9"/>
  <c r="CX33" i="9"/>
  <c r="CW33" i="9"/>
  <c r="CV33" i="9"/>
  <c r="CU33" i="9"/>
  <c r="CT33" i="9"/>
  <c r="CR33" i="9"/>
  <c r="BW33" i="9"/>
  <c r="BS33" i="9"/>
  <c r="BR33" i="9"/>
  <c r="BQ33" i="9"/>
  <c r="BP33" i="9"/>
  <c r="BO33" i="9"/>
  <c r="BN33" i="9"/>
  <c r="BM33" i="9"/>
  <c r="BL33" i="9"/>
  <c r="BK33" i="9"/>
  <c r="BJ33" i="9"/>
  <c r="BI33" i="9"/>
  <c r="BH33" i="9"/>
  <c r="BG33" i="9"/>
  <c r="BF33" i="9"/>
  <c r="BE33" i="9"/>
  <c r="BD33" i="9"/>
  <c r="BC33" i="9"/>
  <c r="BB33" i="9"/>
  <c r="AZ33" i="9"/>
  <c r="AE33" i="9"/>
  <c r="AC33" i="9" s="1"/>
  <c r="AB33" i="9" s="1"/>
  <c r="AX33" i="9" s="1"/>
  <c r="I33" i="9"/>
  <c r="G33" i="9" s="1"/>
  <c r="DK32" i="9"/>
  <c r="DJ32" i="9"/>
  <c r="DI32" i="9"/>
  <c r="DH32" i="9"/>
  <c r="DG32" i="9"/>
  <c r="DF32" i="9"/>
  <c r="DE32" i="9"/>
  <c r="DD32" i="9"/>
  <c r="DC32" i="9"/>
  <c r="DB32" i="9"/>
  <c r="DA32" i="9"/>
  <c r="CZ32" i="9"/>
  <c r="CY32" i="9"/>
  <c r="CX32" i="9"/>
  <c r="CW32" i="9"/>
  <c r="CV32" i="9"/>
  <c r="CU32" i="9"/>
  <c r="CT32" i="9"/>
  <c r="CS32" i="9"/>
  <c r="CR32" i="9"/>
  <c r="BU32" i="9"/>
  <c r="BS32" i="9"/>
  <c r="BR32" i="9"/>
  <c r="BQ32" i="9"/>
  <c r="BP32" i="9"/>
  <c r="BO32" i="9"/>
  <c r="BN32" i="9"/>
  <c r="BM32" i="9"/>
  <c r="BL32" i="9"/>
  <c r="BK32" i="9"/>
  <c r="BJ32" i="9"/>
  <c r="BI32" i="9"/>
  <c r="BH32" i="9"/>
  <c r="BG32" i="9"/>
  <c r="BF32" i="9"/>
  <c r="BE32" i="9"/>
  <c r="BD32" i="9"/>
  <c r="BC32" i="9"/>
  <c r="BB32" i="9"/>
  <c r="AZ32" i="9"/>
  <c r="AC32" i="9"/>
  <c r="I32" i="9"/>
  <c r="G32" i="9" s="1"/>
  <c r="DK31" i="9"/>
  <c r="DJ31" i="9"/>
  <c r="DI31" i="9"/>
  <c r="DH31" i="9"/>
  <c r="DG31" i="9"/>
  <c r="DF31" i="9"/>
  <c r="DE31" i="9"/>
  <c r="DD31" i="9"/>
  <c r="DC31" i="9"/>
  <c r="DB31" i="9"/>
  <c r="DA31" i="9"/>
  <c r="CZ31" i="9"/>
  <c r="CY31" i="9"/>
  <c r="CX31" i="9"/>
  <c r="CW31" i="9"/>
  <c r="CV31" i="9"/>
  <c r="CU31" i="9"/>
  <c r="CT31" i="9"/>
  <c r="CR31" i="9"/>
  <c r="BW31" i="9"/>
  <c r="BU31" i="9"/>
  <c r="BS31" i="9"/>
  <c r="BR31" i="9"/>
  <c r="BQ31" i="9"/>
  <c r="BP31" i="9"/>
  <c r="BO31" i="9"/>
  <c r="BN31" i="9"/>
  <c r="BM31" i="9"/>
  <c r="BL31" i="9"/>
  <c r="BK31" i="9"/>
  <c r="BJ31" i="9"/>
  <c r="BI31" i="9"/>
  <c r="BH31" i="9"/>
  <c r="BG31" i="9"/>
  <c r="BF31" i="9"/>
  <c r="BE31" i="9"/>
  <c r="BD31" i="9"/>
  <c r="BC31" i="9"/>
  <c r="BB31" i="9"/>
  <c r="AZ31" i="9"/>
  <c r="AE31" i="9"/>
  <c r="G31" i="9"/>
  <c r="DK30" i="9"/>
  <c r="DJ30" i="9"/>
  <c r="DI30" i="9"/>
  <c r="DH30" i="9"/>
  <c r="DG30" i="9"/>
  <c r="DF30" i="9"/>
  <c r="DE30" i="9"/>
  <c r="DD30" i="9"/>
  <c r="DC30" i="9"/>
  <c r="DB30" i="9"/>
  <c r="DA30" i="9"/>
  <c r="CZ30" i="9"/>
  <c r="CY30" i="9"/>
  <c r="CX30" i="9"/>
  <c r="CW30" i="9"/>
  <c r="CV30" i="9"/>
  <c r="CU30" i="9"/>
  <c r="CT30" i="9"/>
  <c r="CS30" i="9"/>
  <c r="CR30" i="9"/>
  <c r="BU30" i="9"/>
  <c r="BS30" i="9"/>
  <c r="BR30" i="9"/>
  <c r="BQ30" i="9"/>
  <c r="BP30" i="9"/>
  <c r="BO30" i="9"/>
  <c r="BN30" i="9"/>
  <c r="BM30" i="9"/>
  <c r="BL30" i="9"/>
  <c r="BK30" i="9"/>
  <c r="BJ30" i="9"/>
  <c r="BI30" i="9"/>
  <c r="BH30" i="9"/>
  <c r="BG30" i="9"/>
  <c r="BF30" i="9"/>
  <c r="BE30" i="9"/>
  <c r="BD30" i="9"/>
  <c r="BC30" i="9"/>
  <c r="BB30" i="9"/>
  <c r="BA30" i="9"/>
  <c r="AZ30" i="9"/>
  <c r="AC30" i="9"/>
  <c r="G30" i="9"/>
  <c r="DK29" i="9"/>
  <c r="DJ29" i="9"/>
  <c r="DI29" i="9"/>
  <c r="DH29" i="9"/>
  <c r="DG29" i="9"/>
  <c r="DE29" i="9"/>
  <c r="DD29" i="9"/>
  <c r="DC29" i="9"/>
  <c r="DB29" i="9"/>
  <c r="DA29" i="9"/>
  <c r="CZ29" i="9"/>
  <c r="CY29" i="9"/>
  <c r="CX29" i="9"/>
  <c r="CW29" i="9"/>
  <c r="CV29" i="9"/>
  <c r="CU29" i="9"/>
  <c r="CT29" i="9"/>
  <c r="CS29" i="9"/>
  <c r="CR29" i="9"/>
  <c r="CJ29" i="9"/>
  <c r="DF29" i="9" s="1"/>
  <c r="BU29" i="9"/>
  <c r="BT29" i="9" s="1"/>
  <c r="CP29" i="9" s="1"/>
  <c r="BS29" i="9"/>
  <c r="BR29" i="9"/>
  <c r="BQ29" i="9"/>
  <c r="BP29" i="9"/>
  <c r="BO29" i="9"/>
  <c r="BM29" i="9"/>
  <c r="BL29" i="9"/>
  <c r="BK29" i="9"/>
  <c r="BJ29" i="9"/>
  <c r="BI29" i="9"/>
  <c r="BH29" i="9"/>
  <c r="BG29" i="9"/>
  <c r="BF29" i="9"/>
  <c r="BE29" i="9"/>
  <c r="BD29" i="9"/>
  <c r="BC29" i="9"/>
  <c r="BB29" i="9"/>
  <c r="BA29" i="9"/>
  <c r="AZ29" i="9"/>
  <c r="AR29" i="9"/>
  <c r="G29" i="9"/>
  <c r="DK28" i="9"/>
  <c r="DJ28" i="9"/>
  <c r="DI28" i="9"/>
  <c r="DH28" i="9"/>
  <c r="DG28" i="9"/>
  <c r="DE28" i="9"/>
  <c r="DD28" i="9"/>
  <c r="DC28" i="9"/>
  <c r="DB28" i="9"/>
  <c r="DA28" i="9"/>
  <c r="CZ28" i="9"/>
  <c r="CY28" i="9"/>
  <c r="CX28" i="9"/>
  <c r="CW28" i="9"/>
  <c r="CV28" i="9"/>
  <c r="CU28" i="9"/>
  <c r="CT28" i="9"/>
  <c r="CS28" i="9"/>
  <c r="CR28" i="9"/>
  <c r="CJ28" i="9"/>
  <c r="BU28" i="9" s="1"/>
  <c r="BS28" i="9"/>
  <c r="BR28" i="9"/>
  <c r="BQ28" i="9"/>
  <c r="BP28" i="9"/>
  <c r="BO28" i="9"/>
  <c r="BN28" i="9"/>
  <c r="BM28" i="9"/>
  <c r="BL28" i="9"/>
  <c r="BK28" i="9"/>
  <c r="BJ28" i="9"/>
  <c r="BI28" i="9"/>
  <c r="BH28" i="9"/>
  <c r="BG28" i="9"/>
  <c r="BF28" i="9"/>
  <c r="BE28" i="9"/>
  <c r="BD28" i="9"/>
  <c r="BC28" i="9"/>
  <c r="BB28" i="9"/>
  <c r="BA28" i="9"/>
  <c r="AZ28" i="9"/>
  <c r="AR28" i="9"/>
  <c r="G28" i="9"/>
  <c r="DJ27" i="9"/>
  <c r="DI27" i="9"/>
  <c r="DH27" i="9"/>
  <c r="DG27" i="9"/>
  <c r="DF27" i="9"/>
  <c r="DE27" i="9"/>
  <c r="DD27" i="9"/>
  <c r="DC27" i="9"/>
  <c r="DB27" i="9"/>
  <c r="DA27" i="9"/>
  <c r="CZ27" i="9"/>
  <c r="CY27" i="9"/>
  <c r="CX27" i="9"/>
  <c r="CW27" i="9"/>
  <c r="CV27" i="9"/>
  <c r="CU27" i="9"/>
  <c r="CT27" i="9"/>
  <c r="CS27" i="9"/>
  <c r="CR27" i="9"/>
  <c r="BX27" i="9"/>
  <c r="CO27" i="9" s="1"/>
  <c r="BR27" i="9"/>
  <c r="BQ27" i="9"/>
  <c r="BP27" i="9"/>
  <c r="BO27" i="9"/>
  <c r="BN27" i="9"/>
  <c r="BM27" i="9"/>
  <c r="BL27" i="9"/>
  <c r="BK27" i="9"/>
  <c r="BJ27" i="9"/>
  <c r="BI27" i="9"/>
  <c r="BH27" i="9"/>
  <c r="BG27" i="9"/>
  <c r="BF27" i="9"/>
  <c r="BE27" i="9"/>
  <c r="BD27" i="9"/>
  <c r="BC27" i="9"/>
  <c r="BA27" i="9"/>
  <c r="AZ27" i="9"/>
  <c r="AW27" i="9"/>
  <c r="AF27" i="9"/>
  <c r="BB27" i="9" s="1"/>
  <c r="G27" i="9"/>
  <c r="DK26" i="9"/>
  <c r="DJ26" i="9"/>
  <c r="DI26" i="9"/>
  <c r="DH26" i="9"/>
  <c r="DG26" i="9"/>
  <c r="DF26" i="9"/>
  <c r="DE26" i="9"/>
  <c r="DD26" i="9"/>
  <c r="DC26" i="9"/>
  <c r="DB26" i="9"/>
  <c r="DA26" i="9"/>
  <c r="CZ26" i="9"/>
  <c r="CY26" i="9"/>
  <c r="CX26" i="9"/>
  <c r="CW26" i="9"/>
  <c r="CV26" i="9"/>
  <c r="CU26" i="9"/>
  <c r="CS26" i="9"/>
  <c r="CR26" i="9"/>
  <c r="BX26" i="9"/>
  <c r="CT26" i="9" s="1"/>
  <c r="BU26" i="9"/>
  <c r="BS26" i="9"/>
  <c r="BR26" i="9"/>
  <c r="BQ26" i="9"/>
  <c r="BP26" i="9"/>
  <c r="BO26" i="9"/>
  <c r="BN26" i="9"/>
  <c r="BM26" i="9"/>
  <c r="BL26" i="9"/>
  <c r="BK26" i="9"/>
  <c r="BJ26" i="9"/>
  <c r="BI26" i="9"/>
  <c r="BH26" i="9"/>
  <c r="BG26" i="9"/>
  <c r="BF26" i="9"/>
  <c r="BE26" i="9"/>
  <c r="BD26" i="9"/>
  <c r="BC26" i="9"/>
  <c r="BA26" i="9"/>
  <c r="AZ26" i="9"/>
  <c r="AF26" i="9"/>
  <c r="BB26" i="9" s="1"/>
  <c r="G26" i="9"/>
  <c r="DK25" i="9"/>
  <c r="DJ25" i="9"/>
  <c r="DI25" i="9"/>
  <c r="DH25" i="9"/>
  <c r="DG25" i="9"/>
  <c r="DF25" i="9"/>
  <c r="DE25" i="9"/>
  <c r="DD25" i="9"/>
  <c r="DC25" i="9"/>
  <c r="DB25" i="9"/>
  <c r="DA25" i="9"/>
  <c r="CZ25" i="9"/>
  <c r="CY25" i="9"/>
  <c r="CX25" i="9"/>
  <c r="CW25" i="9"/>
  <c r="CV25" i="9"/>
  <c r="CU25" i="9"/>
  <c r="CS25" i="9"/>
  <c r="CR25" i="9"/>
  <c r="BX25" i="9"/>
  <c r="BS25" i="9"/>
  <c r="BR25" i="9"/>
  <c r="BQ25" i="9"/>
  <c r="BP25" i="9"/>
  <c r="BO25" i="9"/>
  <c r="BN25" i="9"/>
  <c r="BM25" i="9"/>
  <c r="BL25" i="9"/>
  <c r="BK25" i="9"/>
  <c r="BJ25" i="9"/>
  <c r="BI25" i="9"/>
  <c r="BH25" i="9"/>
  <c r="BG25" i="9"/>
  <c r="BF25" i="9"/>
  <c r="BE25" i="9"/>
  <c r="BD25" i="9"/>
  <c r="BC25" i="9"/>
  <c r="BA25" i="9"/>
  <c r="AZ25" i="9"/>
  <c r="AF25" i="9"/>
  <c r="G25" i="9"/>
  <c r="CN24" i="9"/>
  <c r="CM24" i="9"/>
  <c r="CL24" i="9"/>
  <c r="CK24" i="9"/>
  <c r="CJ24" i="9"/>
  <c r="CH24" i="9"/>
  <c r="CG24" i="9"/>
  <c r="CF24" i="9"/>
  <c r="CE24" i="9"/>
  <c r="CD24" i="9"/>
  <c r="CC24" i="9"/>
  <c r="CB24" i="9"/>
  <c r="CA24" i="9"/>
  <c r="BZ24" i="9"/>
  <c r="BV24" i="9"/>
  <c r="AV24" i="9"/>
  <c r="AU24" i="9"/>
  <c r="AT24" i="9"/>
  <c r="AS24" i="9"/>
  <c r="AR24" i="9"/>
  <c r="AP24" i="9"/>
  <c r="AO24" i="9"/>
  <c r="AN24" i="9"/>
  <c r="AM24" i="9"/>
  <c r="AL24" i="9"/>
  <c r="AK24" i="9"/>
  <c r="AJ24" i="9"/>
  <c r="AI24" i="9"/>
  <c r="AH24" i="9"/>
  <c r="AD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H24" i="9"/>
  <c r="DK23" i="9"/>
  <c r="DJ23" i="9"/>
  <c r="DI23" i="9"/>
  <c r="DH23" i="9"/>
  <c r="DG23" i="9"/>
  <c r="DF23" i="9"/>
  <c r="DE23" i="9"/>
  <c r="DD23" i="9"/>
  <c r="DC23" i="9"/>
  <c r="DB23" i="9"/>
  <c r="DA23" i="9"/>
  <c r="CZ23" i="9"/>
  <c r="CY23" i="9"/>
  <c r="CX23" i="9"/>
  <c r="CW23" i="9"/>
  <c r="CV23" i="9"/>
  <c r="CU23" i="9"/>
  <c r="CS23" i="9"/>
  <c r="CR23" i="9"/>
  <c r="BX23" i="9"/>
  <c r="CT23" i="9" s="1"/>
  <c r="BS23" i="9"/>
  <c r="BR23" i="9"/>
  <c r="BQ23" i="9"/>
  <c r="BP23" i="9"/>
  <c r="BO23" i="9"/>
  <c r="BN23" i="9"/>
  <c r="BM23" i="9"/>
  <c r="BL23" i="9"/>
  <c r="BK23" i="9"/>
  <c r="BJ23" i="9"/>
  <c r="BI23" i="9"/>
  <c r="BH23" i="9"/>
  <c r="BG23" i="9"/>
  <c r="BF23" i="9"/>
  <c r="BE23" i="9"/>
  <c r="BD23" i="9"/>
  <c r="BC23" i="9"/>
  <c r="BA23" i="9"/>
  <c r="AZ23" i="9"/>
  <c r="AF23" i="9"/>
  <c r="BB23" i="9" s="1"/>
  <c r="G23" i="9"/>
  <c r="DJ22" i="9"/>
  <c r="DI22" i="9"/>
  <c r="DH22" i="9"/>
  <c r="DG22" i="9"/>
  <c r="DF22" i="9"/>
  <c r="DE22" i="9"/>
  <c r="DD22" i="9"/>
  <c r="DC22" i="9"/>
  <c r="DB22" i="9"/>
  <c r="DA22" i="9"/>
  <c r="CZ22" i="9"/>
  <c r="CY22" i="9"/>
  <c r="CX22" i="9"/>
  <c r="CW22" i="9"/>
  <c r="CV22" i="9"/>
  <c r="CU22" i="9"/>
  <c r="CT22" i="9"/>
  <c r="CR22" i="9"/>
  <c r="CO22" i="9"/>
  <c r="BW22" i="9"/>
  <c r="CS22" i="9" s="1"/>
  <c r="BR22" i="9"/>
  <c r="BQ22" i="9"/>
  <c r="BP22" i="9"/>
  <c r="BO22" i="9"/>
  <c r="BN22" i="9"/>
  <c r="BL22" i="9"/>
  <c r="BK22" i="9"/>
  <c r="BJ22" i="9"/>
  <c r="BI22" i="9"/>
  <c r="BH22" i="9"/>
  <c r="BG22" i="9"/>
  <c r="BF22" i="9"/>
  <c r="BE22" i="9"/>
  <c r="BD22" i="9"/>
  <c r="BC22" i="9"/>
  <c r="BB22" i="9"/>
  <c r="BA22" i="9"/>
  <c r="AZ22" i="9"/>
  <c r="AW22" i="9"/>
  <c r="AQ22" i="9"/>
  <c r="BM22" i="9" s="1"/>
  <c r="AE22" i="9"/>
  <c r="AA22" i="9"/>
  <c r="G22" i="9"/>
  <c r="DK21" i="9"/>
  <c r="DJ21" i="9"/>
  <c r="DI21" i="9"/>
  <c r="DH21" i="9"/>
  <c r="DG21" i="9"/>
  <c r="DF21" i="9"/>
  <c r="DE21" i="9"/>
  <c r="DD21" i="9"/>
  <c r="DC21" i="9"/>
  <c r="DB21" i="9"/>
  <c r="DA21" i="9"/>
  <c r="CZ21" i="9"/>
  <c r="CY21" i="9"/>
  <c r="CX21" i="9"/>
  <c r="CW21" i="9"/>
  <c r="CV21" i="9"/>
  <c r="CU21" i="9"/>
  <c r="CT21" i="9"/>
  <c r="CR21" i="9"/>
  <c r="BW21" i="9"/>
  <c r="CS21" i="9" s="1"/>
  <c r="BS21" i="9"/>
  <c r="BR21" i="9"/>
  <c r="BQ21" i="9"/>
  <c r="BP21" i="9"/>
  <c r="BO21" i="9"/>
  <c r="BN21" i="9"/>
  <c r="BM21" i="9"/>
  <c r="BL21" i="9"/>
  <c r="BK21" i="9"/>
  <c r="BJ21" i="9"/>
  <c r="BI21" i="9"/>
  <c r="BH21" i="9"/>
  <c r="BG21" i="9"/>
  <c r="BF21" i="9"/>
  <c r="BE21" i="9"/>
  <c r="BD21" i="9"/>
  <c r="BC21" i="9"/>
  <c r="BB21" i="9"/>
  <c r="AZ21" i="9"/>
  <c r="AE21" i="9"/>
  <c r="BA21" i="9" s="1"/>
  <c r="G21" i="9"/>
  <c r="DF20" i="9"/>
  <c r="CQ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C20" i="9"/>
  <c r="G20" i="9"/>
  <c r="DF19" i="9"/>
  <c r="CQ19" i="9" s="1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C19" i="9"/>
  <c r="G19" i="9"/>
  <c r="DJ18" i="9"/>
  <c r="DI18" i="9"/>
  <c r="DH18" i="9"/>
  <c r="DG18" i="9"/>
  <c r="DF18" i="9"/>
  <c r="DD18" i="9"/>
  <c r="DC18" i="9"/>
  <c r="DB18" i="9"/>
  <c r="DA18" i="9"/>
  <c r="CZ18" i="9"/>
  <c r="CY18" i="9"/>
  <c r="CX18" i="9"/>
  <c r="CW18" i="9"/>
  <c r="CV18" i="9"/>
  <c r="CU18" i="9"/>
  <c r="CT18" i="9"/>
  <c r="CR18" i="9"/>
  <c r="CI18" i="9"/>
  <c r="DE18" i="9" s="1"/>
  <c r="BW18" i="9"/>
  <c r="BR18" i="9"/>
  <c r="BQ18" i="9"/>
  <c r="BP18" i="9"/>
  <c r="BO18" i="9"/>
  <c r="BN18" i="9"/>
  <c r="BL18" i="9"/>
  <c r="BK18" i="9"/>
  <c r="BJ18" i="9"/>
  <c r="BI18" i="9"/>
  <c r="BH18" i="9"/>
  <c r="BG18" i="9"/>
  <c r="BF18" i="9"/>
  <c r="BE18" i="9"/>
  <c r="BD18" i="9"/>
  <c r="BC18" i="9"/>
  <c r="BB18" i="9"/>
  <c r="AZ18" i="9"/>
  <c r="AW18" i="9"/>
  <c r="AQ18" i="9"/>
  <c r="BM18" i="9" s="1"/>
  <c r="AE18" i="9"/>
  <c r="AC18" i="9" s="1"/>
  <c r="AA18" i="9"/>
  <c r="DJ17" i="9"/>
  <c r="DI17" i="9"/>
  <c r="DH17" i="9"/>
  <c r="DG17" i="9"/>
  <c r="DF17" i="9"/>
  <c r="DE17" i="9"/>
  <c r="DD17" i="9"/>
  <c r="DC17" i="9"/>
  <c r="DB17" i="9"/>
  <c r="DA17" i="9"/>
  <c r="CZ17" i="9"/>
  <c r="CY17" i="9"/>
  <c r="CX17" i="9"/>
  <c r="CW17" i="9"/>
  <c r="CV17" i="9"/>
  <c r="CU17" i="9"/>
  <c r="CT17" i="9"/>
  <c r="CR17" i="9"/>
  <c r="CO17" i="9"/>
  <c r="DK17" i="9" s="1"/>
  <c r="BW17" i="9"/>
  <c r="BU17" i="9" s="1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AZ17" i="9"/>
  <c r="AW17" i="9"/>
  <c r="AE17" i="9"/>
  <c r="I17" i="9"/>
  <c r="DK16" i="9"/>
  <c r="DJ16" i="9"/>
  <c r="DI16" i="9"/>
  <c r="DH16" i="9"/>
  <c r="DG16" i="9"/>
  <c r="DF16" i="9"/>
  <c r="DE16" i="9"/>
  <c r="DD16" i="9"/>
  <c r="DC16" i="9"/>
  <c r="DB16" i="9"/>
  <c r="DA16" i="9"/>
  <c r="CZ16" i="9"/>
  <c r="CY16" i="9"/>
  <c r="CX16" i="9"/>
  <c r="CW16" i="9"/>
  <c r="CV16" i="9"/>
  <c r="CU16" i="9"/>
  <c r="CS16" i="9"/>
  <c r="CR16" i="9"/>
  <c r="BX16" i="9"/>
  <c r="CT16" i="9" s="1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A16" i="9"/>
  <c r="AZ16" i="9"/>
  <c r="AF16" i="9"/>
  <c r="AC16" i="9" s="1"/>
  <c r="G16" i="9"/>
  <c r="DK15" i="9"/>
  <c r="DJ15" i="9"/>
  <c r="DI15" i="9"/>
  <c r="DH15" i="9"/>
  <c r="DG15" i="9"/>
  <c r="DF15" i="9"/>
  <c r="DE15" i="9"/>
  <c r="DD15" i="9"/>
  <c r="DC15" i="9"/>
  <c r="DB15" i="9"/>
  <c r="DA15" i="9"/>
  <c r="CZ15" i="9"/>
  <c r="CY15" i="9"/>
  <c r="CX15" i="9"/>
  <c r="CW15" i="9"/>
  <c r="CV15" i="9"/>
  <c r="CU15" i="9"/>
  <c r="CS15" i="9"/>
  <c r="CR15" i="9"/>
  <c r="BX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A15" i="9"/>
  <c r="AZ15" i="9"/>
  <c r="AF15" i="9"/>
  <c r="BB15" i="9" s="1"/>
  <c r="AC15" i="9"/>
  <c r="G15" i="9"/>
  <c r="DK14" i="9"/>
  <c r="DJ14" i="9"/>
  <c r="DI14" i="9"/>
  <c r="DH14" i="9"/>
  <c r="DG14" i="9"/>
  <c r="DF14" i="9"/>
  <c r="DE14" i="9"/>
  <c r="DD14" i="9"/>
  <c r="DC14" i="9"/>
  <c r="DB14" i="9"/>
  <c r="DA14" i="9"/>
  <c r="CZ14" i="9"/>
  <c r="CY14" i="9"/>
  <c r="CX14" i="9"/>
  <c r="CW14" i="9"/>
  <c r="CV14" i="9"/>
  <c r="CT14" i="9"/>
  <c r="CS14" i="9"/>
  <c r="CR14" i="9"/>
  <c r="BY14" i="9"/>
  <c r="BU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Y14" i="9" s="1"/>
  <c r="AZ14" i="9"/>
  <c r="AG14" i="9"/>
  <c r="AG122" i="9" s="1"/>
  <c r="AF14" i="9"/>
  <c r="AC14" i="9" s="1"/>
  <c r="G14" i="9"/>
  <c r="DK13" i="9"/>
  <c r="DJ13" i="9"/>
  <c r="DI13" i="9"/>
  <c r="DH13" i="9"/>
  <c r="DG13" i="9"/>
  <c r="DF13" i="9"/>
  <c r="DD13" i="9"/>
  <c r="DC13" i="9"/>
  <c r="DB13" i="9"/>
  <c r="DA13" i="9"/>
  <c r="CZ13" i="9"/>
  <c r="CY13" i="9"/>
  <c r="CX13" i="9"/>
  <c r="CW13" i="9"/>
  <c r="CV13" i="9"/>
  <c r="CU13" i="9"/>
  <c r="CS13" i="9"/>
  <c r="CR13" i="9"/>
  <c r="CI13" i="9"/>
  <c r="DE13" i="9" s="1"/>
  <c r="BX13" i="9"/>
  <c r="CT13" i="9" s="1"/>
  <c r="BS13" i="9"/>
  <c r="BR13" i="9"/>
  <c r="BQ13" i="9"/>
  <c r="BP13" i="9"/>
  <c r="BO13" i="9"/>
  <c r="BN13" i="9"/>
  <c r="BL13" i="9"/>
  <c r="BK13" i="9"/>
  <c r="BJ13" i="9"/>
  <c r="BI13" i="9"/>
  <c r="BH13" i="9"/>
  <c r="BG13" i="9"/>
  <c r="BF13" i="9"/>
  <c r="BE13" i="9"/>
  <c r="BD13" i="9"/>
  <c r="BC13" i="9"/>
  <c r="BA13" i="9"/>
  <c r="AZ13" i="9"/>
  <c r="AQ13" i="9"/>
  <c r="AC13" i="9" s="1"/>
  <c r="AF13" i="9"/>
  <c r="BB13" i="9" s="1"/>
  <c r="G13" i="9"/>
  <c r="DJ12" i="9"/>
  <c r="DI12" i="9"/>
  <c r="DH12" i="9"/>
  <c r="DG12" i="9"/>
  <c r="DF12" i="9"/>
  <c r="DD12" i="9"/>
  <c r="DC12" i="9"/>
  <c r="DB12" i="9"/>
  <c r="DA12" i="9"/>
  <c r="CZ12" i="9"/>
  <c r="CY12" i="9"/>
  <c r="CX12" i="9"/>
  <c r="CW12" i="9"/>
  <c r="CV12" i="9"/>
  <c r="CU12" i="9"/>
  <c r="CT12" i="9"/>
  <c r="CR12" i="9"/>
  <c r="CO12" i="9"/>
  <c r="CI12" i="9"/>
  <c r="DE12" i="9" s="1"/>
  <c r="BW12" i="9"/>
  <c r="BR12" i="9"/>
  <c r="BQ12" i="9"/>
  <c r="BP12" i="9"/>
  <c r="BO12" i="9"/>
  <c r="BN12" i="9"/>
  <c r="BL12" i="9"/>
  <c r="BK12" i="9"/>
  <c r="BJ12" i="9"/>
  <c r="BI12" i="9"/>
  <c r="BH12" i="9"/>
  <c r="BG12" i="9"/>
  <c r="BF12" i="9"/>
  <c r="BE12" i="9"/>
  <c r="BD12" i="9"/>
  <c r="BC12" i="9"/>
  <c r="BB12" i="9"/>
  <c r="AZ12" i="9"/>
  <c r="AW12" i="9"/>
  <c r="AQ12" i="9"/>
  <c r="BM12" i="9" s="1"/>
  <c r="AE12" i="9"/>
  <c r="BA12" i="9" s="1"/>
  <c r="AA12" i="9"/>
  <c r="G12" i="9" s="1"/>
  <c r="DK11" i="9"/>
  <c r="DJ11" i="9"/>
  <c r="DI11" i="9"/>
  <c r="DH11" i="9"/>
  <c r="DG11" i="9"/>
  <c r="DF11" i="9"/>
  <c r="DE11" i="9"/>
  <c r="DD11" i="9"/>
  <c r="DC11" i="9"/>
  <c r="DB11" i="9"/>
  <c r="DA11" i="9"/>
  <c r="CZ11" i="9"/>
  <c r="CY11" i="9"/>
  <c r="CX11" i="9"/>
  <c r="CW11" i="9"/>
  <c r="CV11" i="9"/>
  <c r="CU11" i="9"/>
  <c r="CT11" i="9"/>
  <c r="CS11" i="9"/>
  <c r="CR11" i="9"/>
  <c r="BU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B11" i="9"/>
  <c r="BA11" i="9"/>
  <c r="AZ11" i="9"/>
  <c r="AG11" i="9"/>
  <c r="G11" i="9"/>
  <c r="DK10" i="9"/>
  <c r="DJ10" i="9"/>
  <c r="DI10" i="9"/>
  <c r="DH10" i="9"/>
  <c r="DG10" i="9"/>
  <c r="DF10" i="9"/>
  <c r="DE10" i="9"/>
  <c r="DD10" i="9"/>
  <c r="DC10" i="9"/>
  <c r="DB10" i="9"/>
  <c r="DA10" i="9"/>
  <c r="CZ10" i="9"/>
  <c r="CY10" i="9"/>
  <c r="CX10" i="9"/>
  <c r="CW10" i="9"/>
  <c r="CV10" i="9"/>
  <c r="CU10" i="9"/>
  <c r="CT10" i="9"/>
  <c r="CR10" i="9"/>
  <c r="BW10" i="9"/>
  <c r="CS10" i="9" s="1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AZ10" i="9"/>
  <c r="AE10" i="9"/>
  <c r="BA10" i="9" s="1"/>
  <c r="AC10" i="9"/>
  <c r="G10" i="9"/>
  <c r="DJ9" i="9"/>
  <c r="DI9" i="9"/>
  <c r="DH9" i="9"/>
  <c r="DG9" i="9"/>
  <c r="DF9" i="9"/>
  <c r="DE9" i="9"/>
  <c r="DD9" i="9"/>
  <c r="DC9" i="9"/>
  <c r="DB9" i="9"/>
  <c r="DA9" i="9"/>
  <c r="CZ9" i="9"/>
  <c r="CY9" i="9"/>
  <c r="CX9" i="9"/>
  <c r="CW9" i="9"/>
  <c r="CV9" i="9"/>
  <c r="CT9" i="9"/>
  <c r="CR9" i="9"/>
  <c r="BY9" i="9"/>
  <c r="BW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B9" i="9"/>
  <c r="BA9" i="9"/>
  <c r="AZ9" i="9"/>
  <c r="AW9" i="9"/>
  <c r="AG9" i="9"/>
  <c r="AE9" i="9"/>
  <c r="AA9" i="9"/>
  <c r="I9" i="9"/>
  <c r="DK8" i="9"/>
  <c r="DJ8" i="9"/>
  <c r="DI8" i="9"/>
  <c r="DH8" i="9"/>
  <c r="DG8" i="9"/>
  <c r="DF8" i="9"/>
  <c r="DE8" i="9"/>
  <c r="DD8" i="9"/>
  <c r="DC8" i="9"/>
  <c r="DB8" i="9"/>
  <c r="DA8" i="9"/>
  <c r="CZ8" i="9"/>
  <c r="CY8" i="9"/>
  <c r="CX8" i="9"/>
  <c r="CW8" i="9"/>
  <c r="CV8" i="9"/>
  <c r="CU8" i="9"/>
  <c r="CT8" i="9"/>
  <c r="CR8" i="9"/>
  <c r="BW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AZ8" i="9"/>
  <c r="AE8" i="9"/>
  <c r="AC8" i="9"/>
  <c r="I8" i="9"/>
  <c r="DJ7" i="9"/>
  <c r="DI7" i="9"/>
  <c r="DH7" i="9"/>
  <c r="DG7" i="9"/>
  <c r="DF7" i="9"/>
  <c r="DE7" i="9"/>
  <c r="DD7" i="9"/>
  <c r="DC7" i="9"/>
  <c r="DB7" i="9"/>
  <c r="DA7" i="9"/>
  <c r="CZ7" i="9"/>
  <c r="CY7" i="9"/>
  <c r="CX7" i="9"/>
  <c r="CW7" i="9"/>
  <c r="CV7" i="9"/>
  <c r="CU7" i="9"/>
  <c r="CS7" i="9"/>
  <c r="CR7" i="9"/>
  <c r="CO7" i="9"/>
  <c r="DK7" i="9" s="1"/>
  <c r="BX7" i="9"/>
  <c r="CT7" i="9" s="1"/>
  <c r="BU7" i="9"/>
  <c r="BT7" i="9"/>
  <c r="CP7" i="9" s="1"/>
  <c r="BR7" i="9"/>
  <c r="BQ7" i="9"/>
  <c r="BP7" i="9"/>
  <c r="BO7" i="9"/>
  <c r="BN7" i="9"/>
  <c r="BM7" i="9"/>
  <c r="BL7" i="9"/>
  <c r="BK7" i="9"/>
  <c r="BJ7" i="9"/>
  <c r="BJ24" i="9" s="1"/>
  <c r="BI7" i="9"/>
  <c r="BH7" i="9"/>
  <c r="BG7" i="9"/>
  <c r="BF7" i="9"/>
  <c r="BE7" i="9"/>
  <c r="BD7" i="9"/>
  <c r="BC7" i="9"/>
  <c r="BA7" i="9"/>
  <c r="AZ7" i="9"/>
  <c r="AW7" i="9"/>
  <c r="BS7" i="9" s="1"/>
  <c r="AF7" i="9"/>
  <c r="AA7" i="9"/>
  <c r="G7" i="9"/>
  <c r="DJ6" i="9"/>
  <c r="DI6" i="9"/>
  <c r="DH6" i="9"/>
  <c r="DG6" i="9"/>
  <c r="DF6" i="9"/>
  <c r="DD6" i="9"/>
  <c r="DC6" i="9"/>
  <c r="DB6" i="9"/>
  <c r="DA6" i="9"/>
  <c r="CZ6" i="9"/>
  <c r="CY6" i="9"/>
  <c r="CX6" i="9"/>
  <c r="CW6" i="9"/>
  <c r="CV6" i="9"/>
  <c r="CU6" i="9"/>
  <c r="CT6" i="9"/>
  <c r="CR6" i="9"/>
  <c r="CI6" i="9"/>
  <c r="DE6" i="9" s="1"/>
  <c r="BW6" i="9"/>
  <c r="CS6" i="9" s="1"/>
  <c r="BR6" i="9"/>
  <c r="BQ6" i="9"/>
  <c r="BP6" i="9"/>
  <c r="BO6" i="9"/>
  <c r="BN6" i="9"/>
  <c r="BM6" i="9"/>
  <c r="BL6" i="9"/>
  <c r="BK6" i="9"/>
  <c r="BJ6" i="9"/>
  <c r="BI6" i="9"/>
  <c r="BH6" i="9"/>
  <c r="BG6" i="9"/>
  <c r="BF6" i="9"/>
  <c r="BE6" i="9"/>
  <c r="BD6" i="9"/>
  <c r="BC6" i="9"/>
  <c r="BB6" i="9"/>
  <c r="AZ6" i="9"/>
  <c r="AW6" i="9"/>
  <c r="AQ6" i="9"/>
  <c r="AE6" i="9"/>
  <c r="AA6" i="9"/>
  <c r="G6" i="9" s="1"/>
  <c r="DJ5" i="9"/>
  <c r="DI5" i="9"/>
  <c r="DH5" i="9"/>
  <c r="DG5" i="9"/>
  <c r="DF5" i="9"/>
  <c r="DD5" i="9"/>
  <c r="DC5" i="9"/>
  <c r="DB5" i="9"/>
  <c r="DA5" i="9"/>
  <c r="CZ5" i="9"/>
  <c r="CY5" i="9"/>
  <c r="CX5" i="9"/>
  <c r="CW5" i="9"/>
  <c r="CV5" i="9"/>
  <c r="CU5" i="9"/>
  <c r="CT5" i="9"/>
  <c r="CR5" i="9"/>
  <c r="CO5" i="9"/>
  <c r="CI5" i="9"/>
  <c r="DE5" i="9" s="1"/>
  <c r="BW5" i="9"/>
  <c r="BR5" i="9"/>
  <c r="BQ5" i="9"/>
  <c r="BP5" i="9"/>
  <c r="BO5" i="9"/>
  <c r="BN5" i="9"/>
  <c r="BL5" i="9"/>
  <c r="BK5" i="9"/>
  <c r="BJ5" i="9"/>
  <c r="BI5" i="9"/>
  <c r="BH5" i="9"/>
  <c r="BG5" i="9"/>
  <c r="BF5" i="9"/>
  <c r="BE5" i="9"/>
  <c r="BD5" i="9"/>
  <c r="BC5" i="9"/>
  <c r="BB5" i="9"/>
  <c r="AZ5" i="9"/>
  <c r="AW5" i="9"/>
  <c r="BS5" i="9" s="1"/>
  <c r="AQ5" i="9"/>
  <c r="BM5" i="9" s="1"/>
  <c r="AE5" i="9"/>
  <c r="AA5" i="9"/>
  <c r="G5" i="9" s="1"/>
  <c r="DJ4" i="9"/>
  <c r="DI4" i="9"/>
  <c r="DH4" i="9"/>
  <c r="DG4" i="9"/>
  <c r="DF4" i="9"/>
  <c r="DD4" i="9"/>
  <c r="DC4" i="9"/>
  <c r="DB4" i="9"/>
  <c r="DA4" i="9"/>
  <c r="CZ4" i="9"/>
  <c r="CY4" i="9"/>
  <c r="CX4" i="9"/>
  <c r="CW4" i="9"/>
  <c r="CV4" i="9"/>
  <c r="CU4" i="9"/>
  <c r="CT4" i="9"/>
  <c r="CR4" i="9"/>
  <c r="CO4" i="9"/>
  <c r="CI4" i="9"/>
  <c r="BW4" i="9"/>
  <c r="BR4" i="9"/>
  <c r="BQ4" i="9"/>
  <c r="BP4" i="9"/>
  <c r="BO4" i="9"/>
  <c r="BN4" i="9"/>
  <c r="BL4" i="9"/>
  <c r="BK4" i="9"/>
  <c r="BJ4" i="9"/>
  <c r="BI4" i="9"/>
  <c r="BH4" i="9"/>
  <c r="BG4" i="9"/>
  <c r="BF4" i="9"/>
  <c r="BE4" i="9"/>
  <c r="BD4" i="9"/>
  <c r="BC4" i="9"/>
  <c r="BB4" i="9"/>
  <c r="AZ4" i="9"/>
  <c r="AW4" i="9"/>
  <c r="AQ4" i="9"/>
  <c r="AE4" i="9"/>
  <c r="AA4" i="9"/>
  <c r="G4" i="9"/>
  <c r="DB95" i="4"/>
  <c r="AC50" i="9" l="1"/>
  <c r="BB50" i="9"/>
  <c r="BU31" i="10"/>
  <c r="BT31" i="10" s="1"/>
  <c r="CP31" i="10" s="1"/>
  <c r="CS31" i="10"/>
  <c r="CQ31" i="10" s="1"/>
  <c r="AC34" i="10"/>
  <c r="BA34" i="10"/>
  <c r="AY34" i="10" s="1"/>
  <c r="DN34" i="10" s="1"/>
  <c r="BU16" i="10"/>
  <c r="DO16" i="10" s="1"/>
  <c r="CT16" i="10"/>
  <c r="AN116" i="10"/>
  <c r="CO67" i="10"/>
  <c r="BU67" i="10" s="1"/>
  <c r="BT67" i="10" s="1"/>
  <c r="CP67" i="10" s="1"/>
  <c r="BM77" i="10"/>
  <c r="AC77" i="10"/>
  <c r="CT52" i="9"/>
  <c r="BU52" i="9"/>
  <c r="BT52" i="9" s="1"/>
  <c r="AU124" i="9"/>
  <c r="AC124" i="9" s="1"/>
  <c r="BQ107" i="9"/>
  <c r="BQ124" i="9" s="1"/>
  <c r="AC36" i="10"/>
  <c r="BB36" i="10"/>
  <c r="CJ49" i="10"/>
  <c r="CS49" i="10"/>
  <c r="AC104" i="10"/>
  <c r="AB104" i="10" s="1"/>
  <c r="AX104" i="10" s="1"/>
  <c r="BS104" i="10"/>
  <c r="AY104" i="10" s="1"/>
  <c r="DN104" i="10" s="1"/>
  <c r="DQ29" i="9"/>
  <c r="AC39" i="10"/>
  <c r="BB39" i="10"/>
  <c r="CS66" i="9"/>
  <c r="BU66" i="9"/>
  <c r="BT66" i="9" s="1"/>
  <c r="CI126" i="9"/>
  <c r="DE85" i="9"/>
  <c r="DE126" i="9" s="1"/>
  <c r="AC11" i="9"/>
  <c r="BC11" i="9"/>
  <c r="AY11" i="9" s="1"/>
  <c r="BU36" i="9"/>
  <c r="BT36" i="9" s="1"/>
  <c r="DK36" i="9"/>
  <c r="BC99" i="9"/>
  <c r="AG118" i="9"/>
  <c r="AC27" i="10"/>
  <c r="AB27" i="10" s="1"/>
  <c r="AX27" i="10" s="1"/>
  <c r="BS27" i="10"/>
  <c r="AY27" i="10" s="1"/>
  <c r="AH114" i="10"/>
  <c r="AH116" i="10" s="1"/>
  <c r="BD100" i="10"/>
  <c r="BD119" i="10" s="1"/>
  <c r="AC100" i="10"/>
  <c r="BU23" i="10"/>
  <c r="BT23" i="10" s="1"/>
  <c r="CP23" i="10" s="1"/>
  <c r="CT23" i="10"/>
  <c r="BA91" i="10"/>
  <c r="AC91" i="10"/>
  <c r="AB91" i="10" s="1"/>
  <c r="AX91" i="10" s="1"/>
  <c r="AE94" i="10"/>
  <c r="CI94" i="9"/>
  <c r="AY7" i="10"/>
  <c r="DN7" i="10" s="1"/>
  <c r="AC17" i="10"/>
  <c r="BS51" i="10"/>
  <c r="AC51" i="10"/>
  <c r="AW114" i="10"/>
  <c r="AW118" i="10"/>
  <c r="AK127" i="10"/>
  <c r="CQ16" i="10"/>
  <c r="CQ23" i="10"/>
  <c r="AC17" i="9"/>
  <c r="BU18" i="9"/>
  <c r="AC23" i="9"/>
  <c r="AL116" i="9"/>
  <c r="BU35" i="9"/>
  <c r="BU38" i="9"/>
  <c r="BU50" i="9"/>
  <c r="BU64" i="9"/>
  <c r="CS108" i="9"/>
  <c r="AY56" i="10"/>
  <c r="AT57" i="10"/>
  <c r="AT116" i="10" s="1"/>
  <c r="CO58" i="10"/>
  <c r="CO79" i="10" s="1"/>
  <c r="AY62" i="10"/>
  <c r="DN62" i="10" s="1"/>
  <c r="AY66" i="10"/>
  <c r="BS87" i="10"/>
  <c r="CS108" i="10"/>
  <c r="CQ108" i="10" s="1"/>
  <c r="AC113" i="10"/>
  <c r="AU114" i="10"/>
  <c r="AF57" i="10"/>
  <c r="BN65" i="10"/>
  <c r="AQ119" i="10"/>
  <c r="AK125" i="10"/>
  <c r="CJ49" i="9"/>
  <c r="CJ57" i="10"/>
  <c r="AR119" i="9"/>
  <c r="CT105" i="9"/>
  <c r="BU12" i="10"/>
  <c r="BT12" i="10" s="1"/>
  <c r="CP12" i="10" s="1"/>
  <c r="BB25" i="10"/>
  <c r="BU27" i="10"/>
  <c r="BT27" i="10" s="1"/>
  <c r="CP27" i="10" s="1"/>
  <c r="AF121" i="10"/>
  <c r="DK60" i="10"/>
  <c r="CQ66" i="10"/>
  <c r="CS70" i="10"/>
  <c r="BS77" i="10"/>
  <c r="DD94" i="10"/>
  <c r="BT84" i="10"/>
  <c r="CP84" i="10" s="1"/>
  <c r="BU99" i="10"/>
  <c r="BT99" i="10" s="1"/>
  <c r="CP99" i="10" s="1"/>
  <c r="BN113" i="10"/>
  <c r="AJ114" i="10"/>
  <c r="AJ116" i="10" s="1"/>
  <c r="AQ126" i="10"/>
  <c r="CQ69" i="10"/>
  <c r="AR119" i="10"/>
  <c r="CB125" i="10"/>
  <c r="CB127" i="10" s="1"/>
  <c r="AQ123" i="10"/>
  <c r="DK113" i="10"/>
  <c r="BW122" i="9"/>
  <c r="BB43" i="9"/>
  <c r="CI24" i="9"/>
  <c r="AB11" i="9"/>
  <c r="AX11" i="9" s="1"/>
  <c r="CY99" i="9"/>
  <c r="CY118" i="9" s="1"/>
  <c r="BS7" i="10"/>
  <c r="BA17" i="10"/>
  <c r="CO27" i="10"/>
  <c r="AY38" i="10"/>
  <c r="AY43" i="10"/>
  <c r="BS58" i="10"/>
  <c r="AY58" i="10" s="1"/>
  <c r="BS64" i="10"/>
  <c r="BB118" i="10"/>
  <c r="BS118" i="10"/>
  <c r="BG99" i="10"/>
  <c r="BG118" i="10" s="1"/>
  <c r="BX119" i="10"/>
  <c r="AY108" i="10"/>
  <c r="DN108" i="10" s="1"/>
  <c r="AL114" i="10"/>
  <c r="AL116" i="10" s="1"/>
  <c r="CK125" i="10"/>
  <c r="CK127" i="10" s="1"/>
  <c r="BB57" i="10"/>
  <c r="DE24" i="10"/>
  <c r="DF28" i="10"/>
  <c r="CQ28" i="10" s="1"/>
  <c r="AY33" i="10"/>
  <c r="DN33" i="10" s="1"/>
  <c r="AY36" i="10"/>
  <c r="CO88" i="10"/>
  <c r="BU88" i="10" s="1"/>
  <c r="CS92" i="10"/>
  <c r="BC99" i="10"/>
  <c r="BC114" i="10" s="1"/>
  <c r="CT99" i="10"/>
  <c r="CT118" i="10" s="1"/>
  <c r="CO57" i="9"/>
  <c r="BU12" i="9"/>
  <c r="BA17" i="9"/>
  <c r="AY17" i="9" s="1"/>
  <c r="CS18" i="9"/>
  <c r="CS35" i="9"/>
  <c r="BA46" i="9"/>
  <c r="AY46" i="9" s="1"/>
  <c r="CS46" i="9"/>
  <c r="DK83" i="9"/>
  <c r="CQ83" i="9" s="1"/>
  <c r="AC91" i="9"/>
  <c r="AB91" i="9" s="1"/>
  <c r="AX91" i="9" s="1"/>
  <c r="AE114" i="9"/>
  <c r="CS110" i="9"/>
  <c r="CA114" i="9"/>
  <c r="AC7" i="10"/>
  <c r="AC12" i="10"/>
  <c r="AB12" i="10" s="1"/>
  <c r="AX12" i="10" s="1"/>
  <c r="CN116" i="10"/>
  <c r="CN128" i="10" s="1"/>
  <c r="AY25" i="10"/>
  <c r="DN25" i="10" s="1"/>
  <c r="BB26" i="10"/>
  <c r="CQ52" i="10"/>
  <c r="AC64" i="10"/>
  <c r="BN87" i="10"/>
  <c r="BN94" i="10" s="1"/>
  <c r="BH99" i="10"/>
  <c r="BH118" i="10" s="1"/>
  <c r="BH125" i="10" s="1"/>
  <c r="BH127" i="10" s="1"/>
  <c r="CY99" i="10"/>
  <c r="CY114" i="10" s="1"/>
  <c r="AF119" i="10"/>
  <c r="BA108" i="10"/>
  <c r="DP129" i="9"/>
  <c r="BM118" i="9"/>
  <c r="DI118" i="9"/>
  <c r="BJ118" i="9"/>
  <c r="BT97" i="9"/>
  <c r="CP97" i="9" s="1"/>
  <c r="BG119" i="9"/>
  <c r="AB97" i="9"/>
  <c r="AX97" i="9" s="1"/>
  <c r="BL94" i="9"/>
  <c r="AB93" i="9"/>
  <c r="AX93" i="9" s="1"/>
  <c r="CQ75" i="9"/>
  <c r="BT69" i="9"/>
  <c r="CN116" i="9"/>
  <c r="DA79" i="9"/>
  <c r="N116" i="9"/>
  <c r="BT31" i="9"/>
  <c r="BT28" i="9"/>
  <c r="BT51" i="9"/>
  <c r="BU55" i="9"/>
  <c r="CA125" i="9"/>
  <c r="CA127" i="9" s="1"/>
  <c r="O116" i="9"/>
  <c r="AB32" i="9"/>
  <c r="AX32" i="9" s="1"/>
  <c r="DJ57" i="9"/>
  <c r="CQ30" i="9"/>
  <c r="AB43" i="9"/>
  <c r="AX43" i="9" s="1"/>
  <c r="BK24" i="9"/>
  <c r="DH24" i="9"/>
  <c r="DA120" i="9"/>
  <c r="DI120" i="9"/>
  <c r="AB16" i="9"/>
  <c r="AX16" i="9" s="1"/>
  <c r="R125" i="9"/>
  <c r="R127" i="9" s="1"/>
  <c r="AB10" i="9"/>
  <c r="AX10" i="9" s="1"/>
  <c r="AB23" i="9"/>
  <c r="AX23" i="9" s="1"/>
  <c r="AB15" i="9"/>
  <c r="AX15" i="9" s="1"/>
  <c r="DK6" i="9"/>
  <c r="CX24" i="9"/>
  <c r="AZ24" i="9"/>
  <c r="CQ43" i="9"/>
  <c r="AY49" i="9"/>
  <c r="BS99" i="9"/>
  <c r="CQ110" i="9"/>
  <c r="CT15" i="9"/>
  <c r="CQ15" i="9" s="1"/>
  <c r="BU15" i="9"/>
  <c r="BT15" i="9" s="1"/>
  <c r="CP15" i="9" s="1"/>
  <c r="DK4" i="9"/>
  <c r="BB101" i="9"/>
  <c r="AC101" i="9"/>
  <c r="AB101" i="9" s="1"/>
  <c r="AX101" i="9" s="1"/>
  <c r="AI119" i="9"/>
  <c r="AI125" i="9" s="1"/>
  <c r="AI127" i="9" s="1"/>
  <c r="BE102" i="9"/>
  <c r="BX126" i="9"/>
  <c r="BX94" i="9"/>
  <c r="CT93" i="9"/>
  <c r="CQ93" i="9" s="1"/>
  <c r="BU93" i="9"/>
  <c r="BT93" i="9" s="1"/>
  <c r="AC35" i="9"/>
  <c r="BA35" i="9"/>
  <c r="BG120" i="9"/>
  <c r="CQ108" i="9"/>
  <c r="BH120" i="9"/>
  <c r="BY120" i="9"/>
  <c r="CO9" i="9"/>
  <c r="CO120" i="9" s="1"/>
  <c r="CU9" i="9"/>
  <c r="CU24" i="9" s="1"/>
  <c r="BF94" i="9"/>
  <c r="DK99" i="9"/>
  <c r="BN106" i="9"/>
  <c r="DK98" i="9"/>
  <c r="AA118" i="9"/>
  <c r="BS98" i="9"/>
  <c r="AY98" i="9" s="1"/>
  <c r="G98" i="9"/>
  <c r="AB98" i="9" s="1"/>
  <c r="AX98" i="9" s="1"/>
  <c r="DK111" i="9"/>
  <c r="G111" i="9"/>
  <c r="BA69" i="9"/>
  <c r="AY69" i="9" s="1"/>
  <c r="AC69" i="9"/>
  <c r="AB69" i="9" s="1"/>
  <c r="AX69" i="9" s="1"/>
  <c r="AB80" i="9"/>
  <c r="AX80" i="9" s="1"/>
  <c r="G18" i="9"/>
  <c r="AB18" i="9" s="1"/>
  <c r="AX18" i="9" s="1"/>
  <c r="DK18" i="9"/>
  <c r="DJ24" i="9"/>
  <c r="BT47" i="9"/>
  <c r="CP47" i="9" s="1"/>
  <c r="BO120" i="9"/>
  <c r="BA73" i="9"/>
  <c r="AY73" i="9" s="1"/>
  <c r="AC73" i="9"/>
  <c r="AB73" i="9" s="1"/>
  <c r="AX73" i="9" s="1"/>
  <c r="BP24" i="9"/>
  <c r="BL24" i="9"/>
  <c r="BP120" i="9"/>
  <c r="CS9" i="9"/>
  <c r="CQ13" i="9"/>
  <c r="BU33" i="9"/>
  <c r="BT33" i="9" s="1"/>
  <c r="CS33" i="9"/>
  <c r="CQ33" i="9" s="1"/>
  <c r="CZ94" i="9"/>
  <c r="BH24" i="9"/>
  <c r="BN40" i="9"/>
  <c r="BS67" i="9"/>
  <c r="G67" i="9"/>
  <c r="AC84" i="9"/>
  <c r="AB84" i="9" s="1"/>
  <c r="AX84" i="9" s="1"/>
  <c r="AZ84" i="9"/>
  <c r="AY84" i="9" s="1"/>
  <c r="CU119" i="9"/>
  <c r="BG121" i="9"/>
  <c r="AB40" i="9"/>
  <c r="AX40" i="9" s="1"/>
  <c r="AY45" i="9"/>
  <c r="AB47" i="9"/>
  <c r="AX47" i="9" s="1"/>
  <c r="AC5" i="9"/>
  <c r="CQ6" i="9"/>
  <c r="CZ24" i="9"/>
  <c r="CQ21" i="9"/>
  <c r="BX121" i="9"/>
  <c r="CZ121" i="9"/>
  <c r="BW57" i="9"/>
  <c r="BX57" i="9"/>
  <c r="CQ59" i="9"/>
  <c r="BS64" i="9"/>
  <c r="BJ79" i="9"/>
  <c r="DF67" i="9"/>
  <c r="AC88" i="9"/>
  <c r="AB88" i="9" s="1"/>
  <c r="AX88" i="9" s="1"/>
  <c r="BO119" i="9"/>
  <c r="BF57" i="9"/>
  <c r="CW57" i="9"/>
  <c r="CQ32" i="9"/>
  <c r="BS35" i="9"/>
  <c r="CU53" i="9"/>
  <c r="CS61" i="9"/>
  <c r="AC64" i="9"/>
  <c r="CO67" i="9"/>
  <c r="BU67" i="9" s="1"/>
  <c r="BT67" i="9" s="1"/>
  <c r="DD87" i="9"/>
  <c r="AD94" i="9"/>
  <c r="DE98" i="9"/>
  <c r="DE118" i="9" s="1"/>
  <c r="BC118" i="9"/>
  <c r="BK118" i="9"/>
  <c r="BH99" i="9"/>
  <c r="BH114" i="9" s="1"/>
  <c r="BP119" i="9"/>
  <c r="DE119" i="9"/>
  <c r="CR119" i="9"/>
  <c r="BS104" i="9"/>
  <c r="AY104" i="9" s="1"/>
  <c r="CC114" i="9"/>
  <c r="CC116" i="9" s="1"/>
  <c r="CQ18" i="9"/>
  <c r="BO57" i="9"/>
  <c r="AY28" i="9"/>
  <c r="AB41" i="9"/>
  <c r="AX41" i="9" s="1"/>
  <c r="AB44" i="9"/>
  <c r="AX44" i="9" s="1"/>
  <c r="BH119" i="9"/>
  <c r="BT104" i="9"/>
  <c r="BB16" i="9"/>
  <c r="AY16" i="9" s="1"/>
  <c r="K57" i="9"/>
  <c r="K116" i="9" s="1"/>
  <c r="AZ88" i="9"/>
  <c r="AY88" i="9" s="1"/>
  <c r="AZ99" i="9"/>
  <c r="AZ114" i="9" s="1"/>
  <c r="CI114" i="9"/>
  <c r="AE24" i="9"/>
  <c r="BF122" i="9"/>
  <c r="BO24" i="9"/>
  <c r="CX120" i="9"/>
  <c r="CQ11" i="9"/>
  <c r="DB24" i="9"/>
  <c r="AY15" i="9"/>
  <c r="DK22" i="9"/>
  <c r="CQ22" i="9" s="1"/>
  <c r="AC26" i="9"/>
  <c r="AB26" i="9" s="1"/>
  <c r="AX26" i="9" s="1"/>
  <c r="CQ29" i="9"/>
  <c r="BA32" i="9"/>
  <c r="AY32" i="9" s="1"/>
  <c r="CQ36" i="9"/>
  <c r="G38" i="9"/>
  <c r="DH38" i="9"/>
  <c r="CQ38" i="9" s="1"/>
  <c r="G45" i="9"/>
  <c r="G55" i="9"/>
  <c r="BR123" i="9"/>
  <c r="CQ70" i="9"/>
  <c r="AE94" i="9"/>
  <c r="DG86" i="9"/>
  <c r="CQ86" i="9" s="1"/>
  <c r="CO89" i="9"/>
  <c r="CU90" i="9"/>
  <c r="CQ90" i="9" s="1"/>
  <c r="CQ95" i="9"/>
  <c r="DH114" i="9"/>
  <c r="BN99" i="9"/>
  <c r="BN118" i="9" s="1"/>
  <c r="CT99" i="9"/>
  <c r="CT118" i="9" s="1"/>
  <c r="BU124" i="9"/>
  <c r="BT124" i="9" s="1"/>
  <c r="U114" i="9"/>
  <c r="U116" i="9" s="1"/>
  <c r="M125" i="9"/>
  <c r="M127" i="9" s="1"/>
  <c r="P125" i="9"/>
  <c r="P127" i="9" s="1"/>
  <c r="AM116" i="9"/>
  <c r="AB37" i="9"/>
  <c r="AX37" i="9" s="1"/>
  <c r="DJ122" i="9"/>
  <c r="BT14" i="9"/>
  <c r="CP14" i="9" s="1"/>
  <c r="R116" i="9"/>
  <c r="AB70" i="9"/>
  <c r="AX70" i="9" s="1"/>
  <c r="L125" i="9"/>
  <c r="L127" i="9" s="1"/>
  <c r="BG122" i="9"/>
  <c r="DC122" i="9"/>
  <c r="AF122" i="9"/>
  <c r="CY120" i="9"/>
  <c r="DG120" i="9"/>
  <c r="AC9" i="9"/>
  <c r="BU10" i="9"/>
  <c r="BT10" i="9" s="1"/>
  <c r="CP10" i="9" s="1"/>
  <c r="BU16" i="9"/>
  <c r="BT16" i="9" s="1"/>
  <c r="CP16" i="9" s="1"/>
  <c r="AY20" i="9"/>
  <c r="BU23" i="9"/>
  <c r="BT23" i="9" s="1"/>
  <c r="CP23" i="9" s="1"/>
  <c r="L116" i="9"/>
  <c r="T116" i="9"/>
  <c r="BU27" i="9"/>
  <c r="BT27" i="9" s="1"/>
  <c r="CQ34" i="9"/>
  <c r="AY37" i="9"/>
  <c r="BU39" i="9"/>
  <c r="BT39" i="9" s="1"/>
  <c r="AY41" i="9"/>
  <c r="AY44" i="9"/>
  <c r="BU61" i="9"/>
  <c r="BS78" i="9"/>
  <c r="AY78" i="9" s="1"/>
  <c r="G88" i="9"/>
  <c r="AY93" i="9"/>
  <c r="BP118" i="9"/>
  <c r="CS118" i="9"/>
  <c r="DA118" i="9"/>
  <c r="DA119" i="9"/>
  <c r="DK104" i="9"/>
  <c r="BM107" i="9"/>
  <c r="BM124" i="9" s="1"/>
  <c r="BU113" i="9"/>
  <c r="CM114" i="9"/>
  <c r="CM116" i="9" s="1"/>
  <c r="N125" i="9"/>
  <c r="N127" i="9" s="1"/>
  <c r="W125" i="9"/>
  <c r="W127" i="9" s="1"/>
  <c r="AL118" i="9"/>
  <c r="AL125" i="9" s="1"/>
  <c r="AL127" i="9" s="1"/>
  <c r="Q125" i="9"/>
  <c r="Q127" i="9" s="1"/>
  <c r="CY79" i="9"/>
  <c r="CQ74" i="9"/>
  <c r="CR24" i="9"/>
  <c r="BS6" i="9"/>
  <c r="BM120" i="9"/>
  <c r="BU22" i="9"/>
  <c r="Z116" i="9"/>
  <c r="CQ26" i="9"/>
  <c r="BL123" i="9"/>
  <c r="BN65" i="9"/>
  <c r="AY65" i="9" s="1"/>
  <c r="T125" i="9"/>
  <c r="T127" i="9" s="1"/>
  <c r="CV24" i="9"/>
  <c r="DK5" i="9"/>
  <c r="BU6" i="9"/>
  <c r="BT6" i="9" s="1"/>
  <c r="CP6" i="9" s="1"/>
  <c r="BD120" i="9"/>
  <c r="BL120" i="9"/>
  <c r="AW120" i="9"/>
  <c r="CQ10" i="9"/>
  <c r="AY19" i="9"/>
  <c r="CQ23" i="9"/>
  <c r="BL57" i="9"/>
  <c r="CU55" i="9"/>
  <c r="X57" i="9"/>
  <c r="X116" i="9" s="1"/>
  <c r="BC79" i="9"/>
  <c r="BA70" i="9"/>
  <c r="AY70" i="9" s="1"/>
  <c r="BU82" i="9"/>
  <c r="BU84" i="9"/>
  <c r="BT84" i="9" s="1"/>
  <c r="BI118" i="9"/>
  <c r="BQ118" i="9"/>
  <c r="DB118" i="9"/>
  <c r="BD100" i="9"/>
  <c r="BD119" i="9" s="1"/>
  <c r="BN101" i="9"/>
  <c r="CZ119" i="9"/>
  <c r="CQ112" i="9"/>
  <c r="BX114" i="9"/>
  <c r="O125" i="9"/>
  <c r="O127" i="9" s="1"/>
  <c r="CK125" i="9"/>
  <c r="CQ39" i="10"/>
  <c r="AB29" i="10"/>
  <c r="AX29" i="10" s="1"/>
  <c r="DO44" i="10"/>
  <c r="AY53" i="10"/>
  <c r="DN53" i="10" s="1"/>
  <c r="CQ38" i="10"/>
  <c r="DO38" i="10" s="1"/>
  <c r="DK6" i="10"/>
  <c r="BS6" i="10"/>
  <c r="AY6" i="10" s="1"/>
  <c r="DN6" i="10" s="1"/>
  <c r="G6" i="10"/>
  <c r="G24" i="10" s="1"/>
  <c r="BY120" i="10"/>
  <c r="CO9" i="10"/>
  <c r="BL121" i="10"/>
  <c r="BL57" i="10"/>
  <c r="CW121" i="10"/>
  <c r="CW57" i="10"/>
  <c r="BU26" i="10"/>
  <c r="CT26" i="10"/>
  <c r="CQ26" i="10" s="1"/>
  <c r="BN29" i="10"/>
  <c r="AY29" i="10" s="1"/>
  <c r="DN29" i="10" s="1"/>
  <c r="AE123" i="10"/>
  <c r="BA58" i="10"/>
  <c r="AC58" i="10"/>
  <c r="AE79" i="10"/>
  <c r="AR123" i="10"/>
  <c r="AC61" i="10"/>
  <c r="AY72" i="10"/>
  <c r="DN72" i="10" s="1"/>
  <c r="BT106" i="10"/>
  <c r="CP106" i="10" s="1"/>
  <c r="DM108" i="10"/>
  <c r="AB108" i="10"/>
  <c r="AX108" i="10" s="1"/>
  <c r="AC13" i="10"/>
  <c r="BB13" i="10"/>
  <c r="AY13" i="10" s="1"/>
  <c r="DM20" i="10"/>
  <c r="BH24" i="10"/>
  <c r="CQ29" i="10"/>
  <c r="AA121" i="10"/>
  <c r="DK35" i="10"/>
  <c r="BS35" i="10"/>
  <c r="BT43" i="10"/>
  <c r="CP43" i="10" s="1"/>
  <c r="BT53" i="10"/>
  <c r="CP53" i="10" s="1"/>
  <c r="DO53" i="10"/>
  <c r="DM64" i="10"/>
  <c r="AB64" i="10"/>
  <c r="AX64" i="10" s="1"/>
  <c r="CA119" i="10"/>
  <c r="CA125" i="10" s="1"/>
  <c r="CA127" i="10" s="1"/>
  <c r="CA114" i="10"/>
  <c r="CA116" i="10" s="1"/>
  <c r="CA128" i="10" s="1"/>
  <c r="CW102" i="10"/>
  <c r="CQ102" i="10" s="1"/>
  <c r="CO102" i="10"/>
  <c r="DK102" i="10" s="1"/>
  <c r="BF122" i="10"/>
  <c r="BF24" i="10"/>
  <c r="BO121" i="10"/>
  <c r="CQ4" i="10"/>
  <c r="AC5" i="10"/>
  <c r="AZ120" i="10"/>
  <c r="BH120" i="10"/>
  <c r="BP120" i="10"/>
  <c r="CR120" i="10"/>
  <c r="AC9" i="10"/>
  <c r="CQ10" i="10"/>
  <c r="BU18" i="10"/>
  <c r="CS18" i="10"/>
  <c r="CQ18" i="10" s="1"/>
  <c r="CQ21" i="10"/>
  <c r="DO21" i="10" s="1"/>
  <c r="CK116" i="10"/>
  <c r="DK121" i="10"/>
  <c r="CQ30" i="10"/>
  <c r="BW57" i="10"/>
  <c r="DO32" i="10"/>
  <c r="CQ36" i="10"/>
  <c r="CQ37" i="10"/>
  <c r="DO37" i="10" s="1"/>
  <c r="AB39" i="10"/>
  <c r="AX39" i="10" s="1"/>
  <c r="CQ51" i="10"/>
  <c r="CS54" i="10"/>
  <c r="CQ54" i="10" s="1"/>
  <c r="G54" i="10"/>
  <c r="DM54" i="10" s="1"/>
  <c r="BA54" i="10"/>
  <c r="AY54" i="10" s="1"/>
  <c r="DN54" i="10" s="1"/>
  <c r="DN56" i="10"/>
  <c r="BT56" i="10"/>
  <c r="CP56" i="10" s="1"/>
  <c r="CO123" i="10"/>
  <c r="CX79" i="10"/>
  <c r="AB59" i="10"/>
  <c r="AX59" i="10" s="1"/>
  <c r="S123" i="10"/>
  <c r="DC63" i="10"/>
  <c r="CQ63" i="10" s="1"/>
  <c r="S79" i="10"/>
  <c r="G63" i="10"/>
  <c r="DM63" i="10" s="1"/>
  <c r="BT70" i="10"/>
  <c r="CP70" i="10" s="1"/>
  <c r="BT81" i="10"/>
  <c r="CP81" i="10" s="1"/>
  <c r="BG122" i="10"/>
  <c r="BP122" i="10"/>
  <c r="DA122" i="10"/>
  <c r="DI122" i="10"/>
  <c r="DK7" i="10"/>
  <c r="BI120" i="10"/>
  <c r="BQ120" i="10"/>
  <c r="BQ125" i="10" s="1"/>
  <c r="BQ127" i="10" s="1"/>
  <c r="BA10" i="10"/>
  <c r="AY10" i="10" s="1"/>
  <c r="AC10" i="10"/>
  <c r="AC11" i="10"/>
  <c r="BC11" i="10"/>
  <c r="AY11" i="10" s="1"/>
  <c r="AY15" i="10"/>
  <c r="DN15" i="10" s="1"/>
  <c r="AY17" i="10"/>
  <c r="DN17" i="10" s="1"/>
  <c r="CQ17" i="10"/>
  <c r="DO17" i="10" s="1"/>
  <c r="DN19" i="10"/>
  <c r="BT20" i="10"/>
  <c r="CP20" i="10" s="1"/>
  <c r="K116" i="10"/>
  <c r="S116" i="10"/>
  <c r="AK116" i="10"/>
  <c r="DA24" i="10"/>
  <c r="BS57" i="10"/>
  <c r="DO28" i="10"/>
  <c r="BU29" i="10"/>
  <c r="AY35" i="10"/>
  <c r="DN35" i="10" s="1"/>
  <c r="AY40" i="10"/>
  <c r="DN40" i="10" s="1"/>
  <c r="AC44" i="10"/>
  <c r="AY49" i="10"/>
  <c r="AY51" i="10"/>
  <c r="DN51" i="10" s="1"/>
  <c r="AB54" i="10"/>
  <c r="AX54" i="10" s="1"/>
  <c r="BF123" i="10"/>
  <c r="BF79" i="10"/>
  <c r="CY123" i="10"/>
  <c r="CY79" i="10"/>
  <c r="DG123" i="10"/>
  <c r="DG79" i="10"/>
  <c r="BN61" i="10"/>
  <c r="AY61" i="10" s="1"/>
  <c r="CQ64" i="10"/>
  <c r="DO64" i="10" s="1"/>
  <c r="DK64" i="10"/>
  <c r="DO66" i="10"/>
  <c r="BT66" i="10"/>
  <c r="CP66" i="10" s="1"/>
  <c r="I79" i="10"/>
  <c r="G76" i="10"/>
  <c r="AB76" i="10" s="1"/>
  <c r="AX76" i="10" s="1"/>
  <c r="CS76" i="10"/>
  <c r="CQ76" i="10" s="1"/>
  <c r="DO76" i="10" s="1"/>
  <c r="BA76" i="10"/>
  <c r="AY76" i="10" s="1"/>
  <c r="DN76" i="10" s="1"/>
  <c r="BT86" i="10"/>
  <c r="CP86" i="10" s="1"/>
  <c r="BU91" i="10"/>
  <c r="CS91" i="10"/>
  <c r="CQ91" i="10" s="1"/>
  <c r="DF106" i="10"/>
  <c r="CQ106" i="10" s="1"/>
  <c r="DO106" i="10" s="1"/>
  <c r="BU113" i="10"/>
  <c r="CJ120" i="10"/>
  <c r="DF113" i="10"/>
  <c r="DF120" i="10" s="1"/>
  <c r="CU122" i="10"/>
  <c r="CO121" i="10"/>
  <c r="CO57" i="10"/>
  <c r="DK27" i="10"/>
  <c r="CQ27" i="10" s="1"/>
  <c r="BT37" i="10"/>
  <c r="CP37" i="10" s="1"/>
  <c r="DO40" i="10"/>
  <c r="BC57" i="10"/>
  <c r="AA122" i="10"/>
  <c r="BS4" i="10"/>
  <c r="BJ24" i="10"/>
  <c r="CV122" i="10"/>
  <c r="BX122" i="10"/>
  <c r="CT7" i="10"/>
  <c r="BT8" i="10"/>
  <c r="CP8" i="10" s="1"/>
  <c r="BX24" i="10"/>
  <c r="CY121" i="10"/>
  <c r="CY57" i="10"/>
  <c r="AB35" i="10"/>
  <c r="AX35" i="10" s="1"/>
  <c r="BN40" i="10"/>
  <c r="G40" i="10"/>
  <c r="DM40" i="10" s="1"/>
  <c r="DF40" i="10"/>
  <c r="AB53" i="10"/>
  <c r="AX53" i="10" s="1"/>
  <c r="BL94" i="10"/>
  <c r="AE24" i="10"/>
  <c r="AE116" i="10" s="1"/>
  <c r="BC24" i="10"/>
  <c r="BK24" i="10"/>
  <c r="BW122" i="10"/>
  <c r="BU4" i="10"/>
  <c r="CW122" i="10"/>
  <c r="DE122" i="10"/>
  <c r="CQ5" i="10"/>
  <c r="DO5" i="10" s="1"/>
  <c r="AB7" i="10"/>
  <c r="AX7" i="10" s="1"/>
  <c r="BE120" i="10"/>
  <c r="BM120" i="10"/>
  <c r="CU9" i="10"/>
  <c r="CU120" i="10" s="1"/>
  <c r="AC14" i="10"/>
  <c r="BB14" i="10"/>
  <c r="AY14" i="10" s="1"/>
  <c r="BY122" i="10"/>
  <c r="BU14" i="10"/>
  <c r="BU15" i="10"/>
  <c r="CT15" i="10"/>
  <c r="CQ15" i="10" s="1"/>
  <c r="AB17" i="10"/>
  <c r="AX17" i="10" s="1"/>
  <c r="AY20" i="10"/>
  <c r="DK22" i="10"/>
  <c r="BS22" i="10"/>
  <c r="G22" i="10"/>
  <c r="AW24" i="10"/>
  <c r="AW116" i="10" s="1"/>
  <c r="BY24" i="10"/>
  <c r="BG121" i="10"/>
  <c r="BG57" i="10"/>
  <c r="AY32" i="10"/>
  <c r="DN32" i="10" s="1"/>
  <c r="AB34" i="10"/>
  <c r="AX34" i="10" s="1"/>
  <c r="DN36" i="10"/>
  <c r="BT38" i="10"/>
  <c r="CP38" i="10" s="1"/>
  <c r="DN41" i="10"/>
  <c r="AB41" i="10"/>
  <c r="AX41" i="10" s="1"/>
  <c r="AY44" i="10"/>
  <c r="DF46" i="10"/>
  <c r="BN46" i="10"/>
  <c r="DO51" i="10"/>
  <c r="BR79" i="10"/>
  <c r="BA69" i="10"/>
  <c r="AC69" i="10"/>
  <c r="AY73" i="10"/>
  <c r="AY78" i="10"/>
  <c r="BT88" i="10"/>
  <c r="CP88" i="10" s="1"/>
  <c r="CV114" i="10"/>
  <c r="CQ95" i="10"/>
  <c r="AB106" i="10"/>
  <c r="AX106" i="10" s="1"/>
  <c r="BD121" i="10"/>
  <c r="BD57" i="10"/>
  <c r="DE121" i="10"/>
  <c r="DE57" i="10"/>
  <c r="AB66" i="10"/>
  <c r="AX66" i="10" s="1"/>
  <c r="DN66" i="10"/>
  <c r="AB70" i="10"/>
  <c r="AX70" i="10" s="1"/>
  <c r="AR79" i="10"/>
  <c r="BR24" i="10"/>
  <c r="BR116" i="10" s="1"/>
  <c r="DC122" i="10"/>
  <c r="AY5" i="10"/>
  <c r="BT7" i="10"/>
  <c r="CP7" i="10" s="1"/>
  <c r="CX121" i="10"/>
  <c r="CX57" i="10"/>
  <c r="BT34" i="10"/>
  <c r="CP34" i="10" s="1"/>
  <c r="DD122" i="10"/>
  <c r="DM4" i="10"/>
  <c r="BU6" i="10"/>
  <c r="CS6" i="10"/>
  <c r="CQ6" i="10" s="1"/>
  <c r="DG121" i="10"/>
  <c r="DG57" i="10"/>
  <c r="BU35" i="10"/>
  <c r="CS35" i="10"/>
  <c r="AB36" i="10"/>
  <c r="AX36" i="10" s="1"/>
  <c r="CQ43" i="10"/>
  <c r="DO43" i="10" s="1"/>
  <c r="CS46" i="10"/>
  <c r="BA46" i="10"/>
  <c r="AY46" i="10" s="1"/>
  <c r="DN46" i="10" s="1"/>
  <c r="G46" i="10"/>
  <c r="AB48" i="10"/>
  <c r="AX48" i="10" s="1"/>
  <c r="AZ79" i="10"/>
  <c r="AQ122" i="10"/>
  <c r="BM4" i="10"/>
  <c r="BD122" i="10"/>
  <c r="BD24" i="10"/>
  <c r="BL122" i="10"/>
  <c r="BL24" i="10"/>
  <c r="CI122" i="10"/>
  <c r="CI24" i="10"/>
  <c r="AE120" i="10"/>
  <c r="AC120" i="10" s="1"/>
  <c r="AC8" i="10"/>
  <c r="BA9" i="10"/>
  <c r="BA24" i="10" s="1"/>
  <c r="CS9" i="10"/>
  <c r="BT11" i="10"/>
  <c r="CP11" i="10" s="1"/>
  <c r="DO11" i="10"/>
  <c r="BS12" i="10"/>
  <c r="AY12" i="10" s="1"/>
  <c r="DK12" i="10"/>
  <c r="CQ12" i="10"/>
  <c r="DK18" i="10"/>
  <c r="BS18" i="10"/>
  <c r="AY18" i="10" s="1"/>
  <c r="DN18" i="10" s="1"/>
  <c r="G18" i="10"/>
  <c r="DM18" i="10" s="1"/>
  <c r="AB21" i="10"/>
  <c r="AX21" i="10" s="1"/>
  <c r="BT21" i="10"/>
  <c r="CP21" i="10" s="1"/>
  <c r="BO24" i="10"/>
  <c r="AZ121" i="10"/>
  <c r="AZ57" i="10"/>
  <c r="BH121" i="10"/>
  <c r="BH57" i="10"/>
  <c r="BP121" i="10"/>
  <c r="BP57" i="10"/>
  <c r="BP116" i="10" s="1"/>
  <c r="AY26" i="10"/>
  <c r="CS34" i="10"/>
  <c r="CQ34" i="10" s="1"/>
  <c r="DO34" i="10" s="1"/>
  <c r="AB38" i="10"/>
  <c r="AX38" i="10" s="1"/>
  <c r="DN38" i="10"/>
  <c r="DO39" i="10"/>
  <c r="CT41" i="10"/>
  <c r="CQ41" i="10" s="1"/>
  <c r="DO41" i="10" s="1"/>
  <c r="CT43" i="10"/>
  <c r="AB46" i="10"/>
  <c r="AX46" i="10" s="1"/>
  <c r="CV123" i="10"/>
  <c r="CV79" i="10"/>
  <c r="DD123" i="10"/>
  <c r="DD79" i="10"/>
  <c r="BU72" i="10"/>
  <c r="CI123" i="10"/>
  <c r="DE72" i="10"/>
  <c r="DE123" i="10" s="1"/>
  <c r="BB119" i="10"/>
  <c r="BT105" i="10"/>
  <c r="CP105" i="10" s="1"/>
  <c r="M116" i="10"/>
  <c r="BX121" i="10"/>
  <c r="BX125" i="10" s="1"/>
  <c r="BX127" i="10" s="1"/>
  <c r="BX57" i="10"/>
  <c r="CT25" i="10"/>
  <c r="BU25" i="10"/>
  <c r="AY31" i="10"/>
  <c r="DN31" i="10" s="1"/>
  <c r="AB16" i="10"/>
  <c r="AX16" i="10" s="1"/>
  <c r="BT17" i="10"/>
  <c r="CP17" i="10" s="1"/>
  <c r="DN20" i="10"/>
  <c r="AY22" i="10"/>
  <c r="DN22" i="10" s="1"/>
  <c r="BF121" i="10"/>
  <c r="BF57" i="10"/>
  <c r="AB26" i="10"/>
  <c r="AX26" i="10" s="1"/>
  <c r="DN37" i="10"/>
  <c r="AB37" i="10"/>
  <c r="AX37" i="10" s="1"/>
  <c r="DO59" i="10"/>
  <c r="BT59" i="10"/>
  <c r="CP59" i="10" s="1"/>
  <c r="AB93" i="10"/>
  <c r="AX93" i="10" s="1"/>
  <c r="BN122" i="10"/>
  <c r="BN24" i="10"/>
  <c r="CO122" i="10"/>
  <c r="AY8" i="10"/>
  <c r="BG120" i="10"/>
  <c r="BO120" i="10"/>
  <c r="CZ120" i="10"/>
  <c r="DH120" i="10"/>
  <c r="BS9" i="10"/>
  <c r="BU10" i="10"/>
  <c r="CT13" i="10"/>
  <c r="CQ13" i="10" s="1"/>
  <c r="DO13" i="10" s="1"/>
  <c r="AB15" i="10"/>
  <c r="AX15" i="10" s="1"/>
  <c r="AY16" i="10"/>
  <c r="DN16" i="10" s="1"/>
  <c r="DN21" i="10"/>
  <c r="BU22" i="10"/>
  <c r="CS22" i="10"/>
  <c r="CQ22" i="10" s="1"/>
  <c r="I24" i="10"/>
  <c r="I116" i="10" s="1"/>
  <c r="Y116" i="10"/>
  <c r="AQ24" i="10"/>
  <c r="AZ24" i="10"/>
  <c r="CV24" i="10"/>
  <c r="DB57" i="10"/>
  <c r="DJ57" i="10"/>
  <c r="DN26" i="10"/>
  <c r="BT30" i="10"/>
  <c r="CP30" i="10" s="1"/>
  <c r="DO30" i="10"/>
  <c r="DO31" i="10"/>
  <c r="CL121" i="10"/>
  <c r="CL125" i="10" s="1"/>
  <c r="CL127" i="10" s="1"/>
  <c r="CL57" i="10"/>
  <c r="CL116" i="10" s="1"/>
  <c r="V121" i="10"/>
  <c r="BN39" i="10"/>
  <c r="AY39" i="10" s="1"/>
  <c r="DN39" i="10" s="1"/>
  <c r="DF39" i="10"/>
  <c r="V57" i="10"/>
  <c r="CQ40" i="10"/>
  <c r="BT44" i="10"/>
  <c r="CP44" i="10" s="1"/>
  <c r="BT48" i="10"/>
  <c r="CP48" i="10" s="1"/>
  <c r="DO50" i="10"/>
  <c r="DO54" i="10"/>
  <c r="BT54" i="10"/>
  <c r="CP54" i="10" s="1"/>
  <c r="BC55" i="10"/>
  <c r="AY55" i="10" s="1"/>
  <c r="DN55" i="10" s="1"/>
  <c r="DK56" i="10"/>
  <c r="DK57" i="10" s="1"/>
  <c r="AA57" i="10"/>
  <c r="AA116" i="10" s="1"/>
  <c r="DM58" i="10"/>
  <c r="BK63" i="10"/>
  <c r="AY63" i="10" s="1"/>
  <c r="BB79" i="10"/>
  <c r="BI94" i="10"/>
  <c r="AC87" i="10"/>
  <c r="AZ87" i="10"/>
  <c r="AY95" i="10"/>
  <c r="BL114" i="10"/>
  <c r="AP118" i="10"/>
  <c r="AP125" i="10" s="1"/>
  <c r="AP127" i="10" s="1"/>
  <c r="AP114" i="10"/>
  <c r="AP116" i="10" s="1"/>
  <c r="AP128" i="10" s="1"/>
  <c r="BL99" i="10"/>
  <c r="AI119" i="10"/>
  <c r="AI114" i="10"/>
  <c r="AI116" i="10" s="1"/>
  <c r="AC102" i="10"/>
  <c r="BE102" i="10"/>
  <c r="BE114" i="10" s="1"/>
  <c r="CQ113" i="10"/>
  <c r="AW122" i="10"/>
  <c r="BE122" i="10"/>
  <c r="DB122" i="10"/>
  <c r="DJ122" i="10"/>
  <c r="BF120" i="10"/>
  <c r="BN120" i="10"/>
  <c r="BW120" i="10"/>
  <c r="CW120" i="10"/>
  <c r="DE120" i="10"/>
  <c r="AG120" i="10"/>
  <c r="R116" i="10"/>
  <c r="R128" i="10" s="1"/>
  <c r="Z116" i="10"/>
  <c r="Z128" i="10" s="1"/>
  <c r="DB24" i="10"/>
  <c r="DJ24" i="10"/>
  <c r="BE121" i="10"/>
  <c r="BM121" i="10"/>
  <c r="BM57" i="10"/>
  <c r="CV121" i="10"/>
  <c r="CV57" i="10"/>
  <c r="DD121" i="10"/>
  <c r="DD57" i="10"/>
  <c r="I121" i="10"/>
  <c r="I125" i="10" s="1"/>
  <c r="I127" i="10" s="1"/>
  <c r="I57" i="10"/>
  <c r="AC49" i="10"/>
  <c r="BD123" i="10"/>
  <c r="BD79" i="10"/>
  <c r="BL123" i="10"/>
  <c r="BL79" i="10"/>
  <c r="BW123" i="10"/>
  <c r="BW79" i="10"/>
  <c r="BU58" i="10"/>
  <c r="CW123" i="10"/>
  <c r="CR79" i="10"/>
  <c r="CQ59" i="10"/>
  <c r="DH79" i="10"/>
  <c r="CQ60" i="10"/>
  <c r="DO60" i="10" s="1"/>
  <c r="AB62" i="10"/>
  <c r="AX62" i="10" s="1"/>
  <c r="BU68" i="10"/>
  <c r="CS68" i="10"/>
  <c r="CQ68" i="10" s="1"/>
  <c r="AY70" i="10"/>
  <c r="DN70" i="10" s="1"/>
  <c r="DN78" i="10"/>
  <c r="BA126" i="10"/>
  <c r="BI126" i="10"/>
  <c r="BQ126" i="10"/>
  <c r="CR81" i="10"/>
  <c r="CQ81" i="10" s="1"/>
  <c r="AZ81" i="10"/>
  <c r="AY81" i="10" s="1"/>
  <c r="DN81" i="10" s="1"/>
  <c r="DO81" i="10"/>
  <c r="CO126" i="10"/>
  <c r="BU83" i="10"/>
  <c r="AF126" i="10"/>
  <c r="BB93" i="10"/>
  <c r="AF94" i="10"/>
  <c r="BK114" i="10"/>
  <c r="DB118" i="10"/>
  <c r="DK118" i="10"/>
  <c r="BA122" i="10"/>
  <c r="BI122" i="10"/>
  <c r="BQ122" i="10"/>
  <c r="CX122" i="10"/>
  <c r="I120" i="10"/>
  <c r="CS8" i="10"/>
  <c r="DA120" i="10"/>
  <c r="DI120" i="10"/>
  <c r="N128" i="10"/>
  <c r="CX24" i="10"/>
  <c r="DF24" i="10"/>
  <c r="BI121" i="10"/>
  <c r="BI125" i="10" s="1"/>
  <c r="BI127" i="10" s="1"/>
  <c r="BI57" i="10"/>
  <c r="BI116" i="10" s="1"/>
  <c r="BQ121" i="10"/>
  <c r="CR121" i="10"/>
  <c r="CZ121" i="10"/>
  <c r="CZ57" i="10"/>
  <c r="DH121" i="10"/>
  <c r="AR121" i="10"/>
  <c r="AR57" i="10"/>
  <c r="AR116" i="10" s="1"/>
  <c r="AE121" i="10"/>
  <c r="DH38" i="10"/>
  <c r="DH57" i="10" s="1"/>
  <c r="S121" i="10"/>
  <c r="BK45" i="10"/>
  <c r="BK57" i="10" s="1"/>
  <c r="G45" i="10"/>
  <c r="DM45" i="10" s="1"/>
  <c r="DC45" i="10"/>
  <c r="DC57" i="10" s="1"/>
  <c r="AB51" i="10"/>
  <c r="AX51" i="10" s="1"/>
  <c r="DO52" i="10"/>
  <c r="AB55" i="10"/>
  <c r="AX55" i="10" s="1"/>
  <c r="BH123" i="10"/>
  <c r="BP123" i="10"/>
  <c r="DA123" i="10"/>
  <c r="DA79" i="10"/>
  <c r="DI123" i="10"/>
  <c r="DI79" i="10"/>
  <c r="CG123" i="10"/>
  <c r="CG79" i="10"/>
  <c r="CG116" i="10" s="1"/>
  <c r="BU63" i="10"/>
  <c r="DK65" i="10"/>
  <c r="CQ65" i="10" s="1"/>
  <c r="BS65" i="10"/>
  <c r="G65" i="10"/>
  <c r="DM65" i="10" s="1"/>
  <c r="AY68" i="10"/>
  <c r="DN68" i="10" s="1"/>
  <c r="DN74" i="10"/>
  <c r="BP79" i="10"/>
  <c r="DM80" i="10"/>
  <c r="BO89" i="10"/>
  <c r="AC89" i="10"/>
  <c r="G118" i="10"/>
  <c r="DM98" i="10"/>
  <c r="BT98" i="10"/>
  <c r="CP98" i="10" s="1"/>
  <c r="CR114" i="10"/>
  <c r="BT110" i="10"/>
  <c r="CP110" i="10" s="1"/>
  <c r="AC4" i="10"/>
  <c r="BJ122" i="10"/>
  <c r="BR122" i="10"/>
  <c r="CY122" i="10"/>
  <c r="DG122" i="10"/>
  <c r="BK120" i="10"/>
  <c r="CT120" i="10"/>
  <c r="DB120" i="10"/>
  <c r="O116" i="10"/>
  <c r="O128" i="10" s="1"/>
  <c r="W116" i="10"/>
  <c r="W128" i="10" s="1"/>
  <c r="AM128" i="10"/>
  <c r="AU116" i="10"/>
  <c r="AU128" i="10" s="1"/>
  <c r="CY24" i="10"/>
  <c r="DG24" i="10"/>
  <c r="BJ121" i="10"/>
  <c r="BR121" i="10"/>
  <c r="BR57" i="10"/>
  <c r="DA121" i="10"/>
  <c r="DI121" i="10"/>
  <c r="DI57" i="10"/>
  <c r="DI116" i="10" s="1"/>
  <c r="AW121" i="10"/>
  <c r="BN28" i="10"/>
  <c r="BN121" i="10" s="1"/>
  <c r="CJ121" i="10"/>
  <c r="BW121" i="10"/>
  <c r="BU36" i="10"/>
  <c r="CQ44" i="10"/>
  <c r="AC45" i="10"/>
  <c r="BU45" i="10"/>
  <c r="CQ50" i="10"/>
  <c r="AC52" i="10"/>
  <c r="BY55" i="10"/>
  <c r="AE57" i="10"/>
  <c r="AZ123" i="10"/>
  <c r="BI79" i="10"/>
  <c r="BQ79" i="10"/>
  <c r="BQ116" i="10" s="1"/>
  <c r="BS60" i="10"/>
  <c r="AY60" i="10" s="1"/>
  <c r="DN60" i="10" s="1"/>
  <c r="G60" i="10"/>
  <c r="AB65" i="10"/>
  <c r="AX65" i="10" s="1"/>
  <c r="CS77" i="10"/>
  <c r="CQ77" i="10" s="1"/>
  <c r="DO77" i="10" s="1"/>
  <c r="G77" i="10"/>
  <c r="BA77" i="10"/>
  <c r="H126" i="10"/>
  <c r="CR80" i="10"/>
  <c r="AZ80" i="10"/>
  <c r="H94" i="10"/>
  <c r="H116" i="10" s="1"/>
  <c r="CT94" i="10"/>
  <c r="DB126" i="10"/>
  <c r="DB94" i="10"/>
  <c r="DJ126" i="10"/>
  <c r="AB82" i="10"/>
  <c r="AX82" i="10" s="1"/>
  <c r="CK126" i="10"/>
  <c r="CK94" i="10"/>
  <c r="DG82" i="10"/>
  <c r="CQ82" i="10" s="1"/>
  <c r="BT93" i="10"/>
  <c r="CP93" i="10" s="1"/>
  <c r="AC99" i="10"/>
  <c r="AE122" i="10"/>
  <c r="AC122" i="10" s="1"/>
  <c r="BC122" i="10"/>
  <c r="BK122" i="10"/>
  <c r="CR122" i="10"/>
  <c r="CZ122" i="10"/>
  <c r="DH122" i="10"/>
  <c r="AF122" i="10"/>
  <c r="DC120" i="10"/>
  <c r="P116" i="10"/>
  <c r="P128" i="10" s="1"/>
  <c r="AF24" i="10"/>
  <c r="AV116" i="10"/>
  <c r="CB116" i="10"/>
  <c r="CB128" i="10" s="1"/>
  <c r="CR24" i="10"/>
  <c r="CZ24" i="10"/>
  <c r="DH24" i="10"/>
  <c r="DB121" i="10"/>
  <c r="DJ121" i="10"/>
  <c r="DN43" i="10"/>
  <c r="CG125" i="10"/>
  <c r="CG127" i="10" s="1"/>
  <c r="AY50" i="10"/>
  <c r="DN50" i="10" s="1"/>
  <c r="K121" i="10"/>
  <c r="BC53" i="10"/>
  <c r="BC121" i="10" s="1"/>
  <c r="AB56" i="10"/>
  <c r="AX56" i="10" s="1"/>
  <c r="AW57" i="10"/>
  <c r="BJ57" i="10"/>
  <c r="BB123" i="10"/>
  <c r="BJ123" i="10"/>
  <c r="BJ79" i="10"/>
  <c r="BR123" i="10"/>
  <c r="AB60" i="10"/>
  <c r="AX60" i="10" s="1"/>
  <c r="BT62" i="10"/>
  <c r="CP62" i="10" s="1"/>
  <c r="AO123" i="10"/>
  <c r="AO79" i="10"/>
  <c r="AO116" i="10" s="1"/>
  <c r="AC63" i="10"/>
  <c r="BK94" i="10"/>
  <c r="AB84" i="10"/>
  <c r="AX84" i="10" s="1"/>
  <c r="BW126" i="10"/>
  <c r="BW94" i="10"/>
  <c r="CS85" i="10"/>
  <c r="DE87" i="10"/>
  <c r="DE126" i="10" s="1"/>
  <c r="CI94" i="10"/>
  <c r="CJ119" i="10"/>
  <c r="BU101" i="10"/>
  <c r="G105" i="10"/>
  <c r="DK105" i="10"/>
  <c r="CQ105" i="10" s="1"/>
  <c r="DO105" i="10" s="1"/>
  <c r="BS105" i="10"/>
  <c r="AY105" i="10" s="1"/>
  <c r="DN105" i="10" s="1"/>
  <c r="AE119" i="10"/>
  <c r="BA106" i="10"/>
  <c r="AE114" i="10"/>
  <c r="BC123" i="10"/>
  <c r="CT123" i="10"/>
  <c r="CT79" i="10"/>
  <c r="DB123" i="10"/>
  <c r="DB79" i="10"/>
  <c r="DJ123" i="10"/>
  <c r="DJ79" i="10"/>
  <c r="AW79" i="10"/>
  <c r="V123" i="10"/>
  <c r="G61" i="10"/>
  <c r="DM61" i="10" s="1"/>
  <c r="CS61" i="10"/>
  <c r="CQ61" i="10" s="1"/>
  <c r="DO61" i="10" s="1"/>
  <c r="BN64" i="10"/>
  <c r="BU65" i="10"/>
  <c r="AC67" i="10"/>
  <c r="BN67" i="10"/>
  <c r="AY67" i="10" s="1"/>
  <c r="DO69" i="10"/>
  <c r="DN73" i="10"/>
  <c r="DN75" i="10"/>
  <c r="BB94" i="10"/>
  <c r="BB126" i="10"/>
  <c r="BJ126" i="10"/>
  <c r="BJ94" i="10"/>
  <c r="BR94" i="10"/>
  <c r="BU82" i="10"/>
  <c r="CJ126" i="10"/>
  <c r="DF87" i="10"/>
  <c r="DF126" i="10" s="1"/>
  <c r="DM92" i="10"/>
  <c r="BT92" i="10"/>
  <c r="CP92" i="10" s="1"/>
  <c r="AB92" i="10"/>
  <c r="AX92" i="10" s="1"/>
  <c r="BX126" i="10"/>
  <c r="BX94" i="10"/>
  <c r="CT93" i="10"/>
  <c r="CQ93" i="10" s="1"/>
  <c r="DO93" i="10" s="1"/>
  <c r="AY98" i="10"/>
  <c r="DN98" i="10" s="1"/>
  <c r="CU118" i="10"/>
  <c r="BF119" i="10"/>
  <c r="DK101" i="10"/>
  <c r="AY109" i="10"/>
  <c r="AN125" i="10"/>
  <c r="AN127" i="10" s="1"/>
  <c r="AN128" i="10" s="1"/>
  <c r="BG123" i="10"/>
  <c r="BG79" i="10"/>
  <c r="BO122" i="10"/>
  <c r="BO79" i="10"/>
  <c r="CX123" i="10"/>
  <c r="CJ123" i="10"/>
  <c r="CJ79" i="10"/>
  <c r="AY69" i="10"/>
  <c r="CQ70" i="10"/>
  <c r="DO70" i="10" s="1"/>
  <c r="CY126" i="10"/>
  <c r="AE126" i="10"/>
  <c r="BA85" i="10"/>
  <c r="AC85" i="10"/>
  <c r="BM85" i="10"/>
  <c r="BM126" i="10" s="1"/>
  <c r="AY91" i="10"/>
  <c r="DN91" i="10" s="1"/>
  <c r="CQ92" i="10"/>
  <c r="DO92" i="10" s="1"/>
  <c r="BV94" i="10"/>
  <c r="BV116" i="10" s="1"/>
  <c r="U118" i="10"/>
  <c r="U125" i="10" s="1"/>
  <c r="U127" i="10" s="1"/>
  <c r="U114" i="10"/>
  <c r="U116" i="10" s="1"/>
  <c r="U128" i="10" s="1"/>
  <c r="DE98" i="10"/>
  <c r="BM98" i="10"/>
  <c r="BM118" i="10" s="1"/>
  <c r="BZ119" i="10"/>
  <c r="BZ125" i="10" s="1"/>
  <c r="BZ127" i="10" s="1"/>
  <c r="BZ114" i="10"/>
  <c r="BZ116" i="10" s="1"/>
  <c r="CV100" i="10"/>
  <c r="CV119" i="10" s="1"/>
  <c r="AB113" i="10"/>
  <c r="AX113" i="10" s="1"/>
  <c r="BG126" i="10"/>
  <c r="CZ126" i="10"/>
  <c r="CZ94" i="10"/>
  <c r="DH126" i="10"/>
  <c r="DC94" i="10"/>
  <c r="BU87" i="10"/>
  <c r="CO89" i="10"/>
  <c r="DG89" i="10"/>
  <c r="BM90" i="10"/>
  <c r="AC90" i="10"/>
  <c r="BG94" i="10"/>
  <c r="BF114" i="10"/>
  <c r="AD118" i="10"/>
  <c r="AZ99" i="10"/>
  <c r="AZ114" i="10" s="1"/>
  <c r="AD114" i="10"/>
  <c r="AR118" i="10"/>
  <c r="AR114" i="10"/>
  <c r="CF119" i="10"/>
  <c r="DB100" i="10"/>
  <c r="DB119" i="10" s="1"/>
  <c r="CF114" i="10"/>
  <c r="CF116" i="10" s="1"/>
  <c r="G104" i="10"/>
  <c r="DM104" i="10" s="1"/>
  <c r="DK104" i="10"/>
  <c r="CQ104" i="10" s="1"/>
  <c r="DO104" i="10" s="1"/>
  <c r="Y124" i="10"/>
  <c r="G107" i="10"/>
  <c r="BQ107" i="10"/>
  <c r="BQ124" i="10" s="1"/>
  <c r="DI107" i="10"/>
  <c r="DI124" i="10" s="1"/>
  <c r="Y114" i="10"/>
  <c r="CM124" i="10"/>
  <c r="BU124" i="10" s="1"/>
  <c r="BU107" i="10"/>
  <c r="CM114" i="10"/>
  <c r="CM116" i="10" s="1"/>
  <c r="AA123" i="10"/>
  <c r="AA79" i="10"/>
  <c r="BI123" i="10"/>
  <c r="BQ123" i="10"/>
  <c r="BE79" i="10"/>
  <c r="BE116" i="10" s="1"/>
  <c r="DF62" i="10"/>
  <c r="DF79" i="10" s="1"/>
  <c r="BS67" i="10"/>
  <c r="DK67" i="10"/>
  <c r="CQ67" i="10" s="1"/>
  <c r="CQ73" i="10"/>
  <c r="DO73" i="10" s="1"/>
  <c r="DM75" i="10"/>
  <c r="BT75" i="10"/>
  <c r="CP75" i="10" s="1"/>
  <c r="AB75" i="10"/>
  <c r="AX75" i="10" s="1"/>
  <c r="DO75" i="10"/>
  <c r="BH126" i="10"/>
  <c r="BP94" i="10"/>
  <c r="DA126" i="10"/>
  <c r="DA94" i="10"/>
  <c r="DI94" i="10"/>
  <c r="BO85" i="10"/>
  <c r="BO126" i="10" s="1"/>
  <c r="AS94" i="10"/>
  <c r="AS116" i="10" s="1"/>
  <c r="CQ85" i="10"/>
  <c r="DO85" i="10" s="1"/>
  <c r="AY86" i="10"/>
  <c r="DN86" i="10" s="1"/>
  <c r="CH126" i="10"/>
  <c r="CH94" i="10"/>
  <c r="CH116" i="10" s="1"/>
  <c r="AZ88" i="10"/>
  <c r="AY88" i="10" s="1"/>
  <c r="AC88" i="10"/>
  <c r="AY89" i="10"/>
  <c r="AQ94" i="10"/>
  <c r="BH94" i="10"/>
  <c r="CJ94" i="10"/>
  <c r="BG114" i="10"/>
  <c r="BO114" i="10"/>
  <c r="AB96" i="10"/>
  <c r="AX96" i="10" s="1"/>
  <c r="BN119" i="10"/>
  <c r="CQ111" i="10"/>
  <c r="DO111" i="10" s="1"/>
  <c r="AW123" i="10"/>
  <c r="BE123" i="10"/>
  <c r="CU123" i="10"/>
  <c r="DK78" i="10"/>
  <c r="CQ78" i="10" s="1"/>
  <c r="DO78" i="10" s="1"/>
  <c r="AQ79" i="10"/>
  <c r="BF126" i="10"/>
  <c r="BN126" i="10"/>
  <c r="BV126" i="10"/>
  <c r="CX126" i="10"/>
  <c r="CX94" i="10"/>
  <c r="BS83" i="10"/>
  <c r="BS94" i="10" s="1"/>
  <c r="DK83" i="10"/>
  <c r="CQ83" i="10" s="1"/>
  <c r="AZ84" i="10"/>
  <c r="AY84" i="10" s="1"/>
  <c r="DN84" i="10" s="1"/>
  <c r="CR84" i="10"/>
  <c r="CQ84" i="10" s="1"/>
  <c r="DO84" i="10" s="1"/>
  <c r="DG86" i="10"/>
  <c r="CQ86" i="10" s="1"/>
  <c r="DO86" i="10" s="1"/>
  <c r="AW94" i="10"/>
  <c r="AG126" i="10"/>
  <c r="AG94" i="10"/>
  <c r="BY126" i="10"/>
  <c r="CU90" i="10"/>
  <c r="CU94" i="10" s="1"/>
  <c r="BU90" i="10"/>
  <c r="BF94" i="10"/>
  <c r="DC114" i="10"/>
  <c r="BT96" i="10"/>
  <c r="CP96" i="10" s="1"/>
  <c r="CO118" i="10"/>
  <c r="AZ119" i="10"/>
  <c r="BY119" i="10"/>
  <c r="CU100" i="10"/>
  <c r="CU119" i="10" s="1"/>
  <c r="BU100" i="10"/>
  <c r="CX119" i="10"/>
  <c r="DH119" i="10"/>
  <c r="AY103" i="10"/>
  <c r="DN103" i="10" s="1"/>
  <c r="CQ109" i="10"/>
  <c r="AY110" i="10"/>
  <c r="AY112" i="10"/>
  <c r="Q125" i="10"/>
  <c r="Q127" i="10" s="1"/>
  <c r="Q128" i="10" s="1"/>
  <c r="CR123" i="10"/>
  <c r="CZ123" i="10"/>
  <c r="DH123" i="10"/>
  <c r="BS59" i="10"/>
  <c r="BT73" i="10"/>
  <c r="CP73" i="10" s="1"/>
  <c r="I123" i="10"/>
  <c r="G78" i="10"/>
  <c r="DM78" i="10" s="1"/>
  <c r="AB80" i="10"/>
  <c r="AX80" i="10" s="1"/>
  <c r="BC126" i="10"/>
  <c r="BK126" i="10"/>
  <c r="AY93" i="10"/>
  <c r="DN93" i="10" s="1"/>
  <c r="AR94" i="10"/>
  <c r="BP114" i="10"/>
  <c r="DO97" i="10"/>
  <c r="AB98" i="10"/>
  <c r="AX98" i="10" s="1"/>
  <c r="BD118" i="10"/>
  <c r="BL118" i="10"/>
  <c r="CV125" i="10"/>
  <c r="DD118" i="10"/>
  <c r="DD125" i="10" s="1"/>
  <c r="AF114" i="10"/>
  <c r="AF118" i="10"/>
  <c r="AF125" i="10" s="1"/>
  <c r="CD118" i="10"/>
  <c r="CD125" i="10" s="1"/>
  <c r="CD127" i="10" s="1"/>
  <c r="CD114" i="10"/>
  <c r="CD116" i="10" s="1"/>
  <c r="CZ99" i="10"/>
  <c r="CZ118" i="10" s="1"/>
  <c r="BP119" i="10"/>
  <c r="DD119" i="10"/>
  <c r="DF101" i="10"/>
  <c r="CQ101" i="10" s="1"/>
  <c r="J125" i="10"/>
  <c r="J127" i="10" s="1"/>
  <c r="BD126" i="10"/>
  <c r="BL126" i="10"/>
  <c r="CV126" i="10"/>
  <c r="DD126" i="10"/>
  <c r="G82" i="10"/>
  <c r="DM82" i="10" s="1"/>
  <c r="AZ82" i="10"/>
  <c r="AY82" i="10" s="1"/>
  <c r="DN82" i="10" s="1"/>
  <c r="G83" i="10"/>
  <c r="DM83" i="10" s="1"/>
  <c r="AB86" i="10"/>
  <c r="AX86" i="10" s="1"/>
  <c r="DK88" i="10"/>
  <c r="AA94" i="10"/>
  <c r="BC94" i="10"/>
  <c r="BA114" i="10"/>
  <c r="BI114" i="10"/>
  <c r="BQ114" i="10"/>
  <c r="DA114" i="10"/>
  <c r="DI114" i="10"/>
  <c r="BE118" i="10"/>
  <c r="AA119" i="10"/>
  <c r="AA125" i="10" s="1"/>
  <c r="AA127" i="10" s="1"/>
  <c r="DK100" i="10"/>
  <c r="BS100" i="10"/>
  <c r="G100" i="10"/>
  <c r="BG119" i="10"/>
  <c r="DE119" i="10"/>
  <c r="BS101" i="10"/>
  <c r="AY101" i="10" s="1"/>
  <c r="DD103" i="10"/>
  <c r="DD114" i="10" s="1"/>
  <c r="CH119" i="10"/>
  <c r="CH125" i="10" s="1"/>
  <c r="CH127" i="10" s="1"/>
  <c r="CO103" i="10"/>
  <c r="DK103" i="10" s="1"/>
  <c r="CQ103" i="10" s="1"/>
  <c r="AB110" i="10"/>
  <c r="AX110" i="10" s="1"/>
  <c r="DN110" i="10"/>
  <c r="K125" i="10"/>
  <c r="K127" i="10" s="1"/>
  <c r="S125" i="10"/>
  <c r="S127" i="10" s="1"/>
  <c r="BM72" i="10"/>
  <c r="BM79" i="10" s="1"/>
  <c r="AD126" i="10"/>
  <c r="AD94" i="10"/>
  <c r="AD116" i="10" s="1"/>
  <c r="BE126" i="10"/>
  <c r="BE94" i="10"/>
  <c r="CW126" i="10"/>
  <c r="BD94" i="10"/>
  <c r="BB114" i="10"/>
  <c r="BR114" i="10"/>
  <c r="AQ114" i="10"/>
  <c r="AQ118" i="10"/>
  <c r="CI118" i="10"/>
  <c r="CI114" i="10"/>
  <c r="CJ118" i="10"/>
  <c r="CJ114" i="10"/>
  <c r="CW119" i="10"/>
  <c r="CW125" i="10" s="1"/>
  <c r="CW127" i="10" s="1"/>
  <c r="DG119" i="10"/>
  <c r="DG125" i="10" s="1"/>
  <c r="DN95" i="10"/>
  <c r="AA114" i="10"/>
  <c r="AL125" i="10"/>
  <c r="AL127" i="10" s="1"/>
  <c r="V119" i="10"/>
  <c r="DF100" i="10"/>
  <c r="AW119" i="10"/>
  <c r="BM100" i="10"/>
  <c r="BM119" i="10" s="1"/>
  <c r="DC119" i="10"/>
  <c r="BS102" i="10"/>
  <c r="AB111" i="10"/>
  <c r="AX111" i="10" s="1"/>
  <c r="CJ122" i="10"/>
  <c r="BU112" i="10"/>
  <c r="DF112" i="10"/>
  <c r="DF122" i="10" s="1"/>
  <c r="BS113" i="10"/>
  <c r="AY113" i="10" s="1"/>
  <c r="DN113" i="10" s="1"/>
  <c r="AG114" i="10"/>
  <c r="AG116" i="10" s="1"/>
  <c r="CC114" i="10"/>
  <c r="CC116" i="10" s="1"/>
  <c r="CC128" i="10" s="1"/>
  <c r="AJ118" i="10"/>
  <c r="AJ125" i="10" s="1"/>
  <c r="AJ127" i="10" s="1"/>
  <c r="AT125" i="10"/>
  <c r="AT127" i="10" s="1"/>
  <c r="DC126" i="10"/>
  <c r="AS126" i="10"/>
  <c r="AW126" i="10"/>
  <c r="CI126" i="10"/>
  <c r="BO123" i="10"/>
  <c r="BO118" i="10"/>
  <c r="AG125" i="10"/>
  <c r="BN99" i="10"/>
  <c r="BN118" i="10" s="1"/>
  <c r="CX99" i="10"/>
  <c r="CX114" i="10" s="1"/>
  <c r="DF99" i="10"/>
  <c r="DF118" i="10" s="1"/>
  <c r="BJ100" i="10"/>
  <c r="BJ119" i="10" s="1"/>
  <c r="BJ125" i="10" s="1"/>
  <c r="BJ127" i="10" s="1"/>
  <c r="BR119" i="10"/>
  <c r="BR125" i="10" s="1"/>
  <c r="BR127" i="10" s="1"/>
  <c r="CR119" i="10"/>
  <c r="CZ119" i="10"/>
  <c r="DI119" i="10"/>
  <c r="DI125" i="10" s="1"/>
  <c r="DI127" i="10" s="1"/>
  <c r="AQ124" i="10"/>
  <c r="AC124" i="10" s="1"/>
  <c r="BM107" i="10"/>
  <c r="BM124" i="10" s="1"/>
  <c r="AY124" i="10" s="1"/>
  <c r="DO109" i="10"/>
  <c r="DK111" i="10"/>
  <c r="L125" i="10"/>
  <c r="L127" i="10" s="1"/>
  <c r="L128" i="10" s="1"/>
  <c r="BY118" i="10"/>
  <c r="BY114" i="10"/>
  <c r="BC119" i="10"/>
  <c r="BK119" i="10"/>
  <c r="CS119" i="10"/>
  <c r="DA119" i="10"/>
  <c r="DA125" i="10" s="1"/>
  <c r="DA127" i="10" s="1"/>
  <c r="DJ119" i="10"/>
  <c r="DJ125" i="10" s="1"/>
  <c r="DJ127" i="10" s="1"/>
  <c r="AC101" i="10"/>
  <c r="BT108" i="10"/>
  <c r="CP108" i="10" s="1"/>
  <c r="DO108" i="10"/>
  <c r="CS110" i="10"/>
  <c r="CQ110" i="10" s="1"/>
  <c r="DO110" i="10" s="1"/>
  <c r="BS111" i="10"/>
  <c r="AY111" i="10" s="1"/>
  <c r="DN111" i="10" s="1"/>
  <c r="G113" i="10"/>
  <c r="DM113" i="10" s="1"/>
  <c r="AH119" i="10"/>
  <c r="AH125" i="10" s="1"/>
  <c r="AH127" i="10" s="1"/>
  <c r="V125" i="10"/>
  <c r="V127" i="10" s="1"/>
  <c r="J119" i="10"/>
  <c r="J114" i="10"/>
  <c r="J116" i="10" s="1"/>
  <c r="J128" i="10" s="1"/>
  <c r="BL119" i="10"/>
  <c r="CT100" i="10"/>
  <c r="DN109" i="10"/>
  <c r="BT111" i="10"/>
  <c r="CP111" i="10" s="1"/>
  <c r="V114" i="10"/>
  <c r="V116" i="10" s="1"/>
  <c r="V128" i="10" s="1"/>
  <c r="AI125" i="10"/>
  <c r="AS125" i="10"/>
  <c r="H125" i="10"/>
  <c r="H127" i="10" s="1"/>
  <c r="P125" i="10"/>
  <c r="P127" i="10" s="1"/>
  <c r="Y125" i="10"/>
  <c r="Y127" i="10" s="1"/>
  <c r="AO125" i="10"/>
  <c r="AO127" i="10" s="1"/>
  <c r="AI127" i="10"/>
  <c r="DJ107" i="10"/>
  <c r="DJ124" i="10" s="1"/>
  <c r="CQ124" i="10" s="1"/>
  <c r="AC112" i="10"/>
  <c r="M125" i="10"/>
  <c r="M127" i="10" s="1"/>
  <c r="CE125" i="10"/>
  <c r="CE127" i="10" s="1"/>
  <c r="CE128" i="10" s="1"/>
  <c r="BW114" i="10"/>
  <c r="N125" i="10"/>
  <c r="N127" i="10" s="1"/>
  <c r="AV125" i="10"/>
  <c r="AV127" i="10" s="1"/>
  <c r="CF125" i="10"/>
  <c r="CF127" i="10" s="1"/>
  <c r="Z125" i="10"/>
  <c r="Z127" i="10" s="1"/>
  <c r="BV125" i="10"/>
  <c r="BT22" i="9"/>
  <c r="CP22" i="9" s="1"/>
  <c r="BT78" i="9"/>
  <c r="AB5" i="9"/>
  <c r="AX5" i="9" s="1"/>
  <c r="AB51" i="9"/>
  <c r="AX51" i="9" s="1"/>
  <c r="BT37" i="9"/>
  <c r="AB13" i="9"/>
  <c r="AX13" i="9" s="1"/>
  <c r="BT18" i="9"/>
  <c r="CP18" i="9" s="1"/>
  <c r="BT44" i="9"/>
  <c r="AW121" i="9"/>
  <c r="BS27" i="9"/>
  <c r="AE121" i="9"/>
  <c r="AE57" i="9"/>
  <c r="BA31" i="9"/>
  <c r="AY31" i="9" s="1"/>
  <c r="AC31" i="9"/>
  <c r="AQ122" i="9"/>
  <c r="BD122" i="9"/>
  <c r="BL122" i="9"/>
  <c r="CS4" i="9"/>
  <c r="DA122" i="9"/>
  <c r="DA24" i="9"/>
  <c r="AC6" i="9"/>
  <c r="BB7" i="9"/>
  <c r="BB24" i="9" s="1"/>
  <c r="BW120" i="9"/>
  <c r="BU8" i="9"/>
  <c r="CW120" i="9"/>
  <c r="DE120" i="9"/>
  <c r="BS12" i="9"/>
  <c r="AY12" i="9" s="1"/>
  <c r="BM13" i="9"/>
  <c r="AY13" i="9" s="1"/>
  <c r="P116" i="9"/>
  <c r="DG24" i="9"/>
  <c r="AF121" i="9"/>
  <c r="AC25" i="9"/>
  <c r="BE121" i="9"/>
  <c r="BM121" i="9"/>
  <c r="BM57" i="9"/>
  <c r="CX121" i="9"/>
  <c r="BT32" i="9"/>
  <c r="CP32" i="9" s="1"/>
  <c r="AC36" i="9"/>
  <c r="BT43" i="9"/>
  <c r="CQ51" i="9"/>
  <c r="CQ52" i="9"/>
  <c r="AB53" i="9"/>
  <c r="AX53" i="9" s="1"/>
  <c r="DH57" i="9"/>
  <c r="BR79" i="9"/>
  <c r="CW79" i="9"/>
  <c r="CW123" i="9"/>
  <c r="BS63" i="9"/>
  <c r="CQ68" i="9"/>
  <c r="BT71" i="9"/>
  <c r="CP71" i="9" s="1"/>
  <c r="BT75" i="9"/>
  <c r="CP75" i="9" s="1"/>
  <c r="BT80" i="9"/>
  <c r="AQ126" i="9"/>
  <c r="BM85" i="9"/>
  <c r="AY85" i="9" s="1"/>
  <c r="AQ94" i="9"/>
  <c r="CS92" i="9"/>
  <c r="CQ92" i="9" s="1"/>
  <c r="BU92" i="9"/>
  <c r="CT94" i="9"/>
  <c r="BC114" i="9"/>
  <c r="BK114" i="9"/>
  <c r="BT108" i="9"/>
  <c r="AB108" i="9"/>
  <c r="AX108" i="9" s="1"/>
  <c r="AW24" i="9"/>
  <c r="BE122" i="9"/>
  <c r="BE24" i="9"/>
  <c r="BM4" i="9"/>
  <c r="BU4" i="9"/>
  <c r="DB122" i="9"/>
  <c r="BU5" i="9"/>
  <c r="AC7" i="9"/>
  <c r="BF120" i="9"/>
  <c r="BN120" i="9"/>
  <c r="G9" i="9"/>
  <c r="AC12" i="9"/>
  <c r="BT12" i="9"/>
  <c r="CP12" i="9" s="1"/>
  <c r="DK12" i="9"/>
  <c r="AB14" i="9"/>
  <c r="AX14" i="9" s="1"/>
  <c r="BS18" i="9"/>
  <c r="AC21" i="9"/>
  <c r="BU21" i="9"/>
  <c r="AQ24" i="9"/>
  <c r="CE116" i="9"/>
  <c r="BF121" i="9"/>
  <c r="AC27" i="9"/>
  <c r="CO121" i="9"/>
  <c r="AR121" i="9"/>
  <c r="AR57" i="9"/>
  <c r="AC28" i="9"/>
  <c r="CJ121" i="9"/>
  <c r="CJ57" i="9"/>
  <c r="DF28" i="9"/>
  <c r="BT30" i="9"/>
  <c r="CP30" i="9" s="1"/>
  <c r="BW121" i="9"/>
  <c r="CS31" i="9"/>
  <c r="CQ31" i="9" s="1"/>
  <c r="AC34" i="9"/>
  <c r="BU45" i="9"/>
  <c r="CQ50" i="9"/>
  <c r="BU54" i="9"/>
  <c r="BE57" i="9"/>
  <c r="CX123" i="9"/>
  <c r="CX79" i="9"/>
  <c r="AZ79" i="9"/>
  <c r="S123" i="9"/>
  <c r="S125" i="9" s="1"/>
  <c r="S127" i="9" s="1"/>
  <c r="S79" i="9"/>
  <c r="DC63" i="9"/>
  <c r="DC79" i="9" s="1"/>
  <c r="G63" i="9"/>
  <c r="AC68" i="9"/>
  <c r="BT74" i="9"/>
  <c r="CP74" i="9" s="1"/>
  <c r="H126" i="9"/>
  <c r="H94" i="9"/>
  <c r="H116" i="9" s="1"/>
  <c r="AZ80" i="9"/>
  <c r="CR80" i="9"/>
  <c r="AA126" i="9"/>
  <c r="G83" i="9"/>
  <c r="AA94" i="9"/>
  <c r="BS83" i="9"/>
  <c r="AY83" i="9" s="1"/>
  <c r="BG94" i="9"/>
  <c r="AY90" i="9"/>
  <c r="I122" i="9"/>
  <c r="G17" i="9"/>
  <c r="BT17" i="9" s="1"/>
  <c r="CP17" i="9" s="1"/>
  <c r="CR121" i="9"/>
  <c r="CR57" i="9"/>
  <c r="BA38" i="9"/>
  <c r="AC38" i="9"/>
  <c r="AO121" i="9"/>
  <c r="AC45" i="9"/>
  <c r="BW123" i="9"/>
  <c r="BW79" i="9"/>
  <c r="CS58" i="9"/>
  <c r="CG123" i="9"/>
  <c r="BU63" i="9"/>
  <c r="CG79" i="9"/>
  <c r="BL79" i="9"/>
  <c r="AY39" i="9"/>
  <c r="AT57" i="9"/>
  <c r="AT116" i="9" s="1"/>
  <c r="AA123" i="9"/>
  <c r="AA79" i="9"/>
  <c r="G58" i="9"/>
  <c r="BS58" i="9"/>
  <c r="DK78" i="9"/>
  <c r="CQ78" i="9" s="1"/>
  <c r="BS89" i="9"/>
  <c r="DK89" i="9"/>
  <c r="G89" i="9"/>
  <c r="BJ100" i="9"/>
  <c r="BJ119" i="9" s="1"/>
  <c r="AN114" i="9"/>
  <c r="AN116" i="9" s="1"/>
  <c r="AN119" i="9"/>
  <c r="AN125" i="9" s="1"/>
  <c r="AN127" i="9" s="1"/>
  <c r="AC100" i="9"/>
  <c r="DF122" i="9"/>
  <c r="BY122" i="9"/>
  <c r="CU14" i="9"/>
  <c r="CU122" i="9" s="1"/>
  <c r="BS22" i="9"/>
  <c r="AY22" i="9" s="1"/>
  <c r="BI121" i="9"/>
  <c r="BI57" i="9"/>
  <c r="BQ121" i="9"/>
  <c r="BQ57" i="9"/>
  <c r="DB121" i="9"/>
  <c r="DB57" i="9"/>
  <c r="I57" i="9"/>
  <c r="BY57" i="9"/>
  <c r="CG57" i="9"/>
  <c r="CG116" i="9" s="1"/>
  <c r="AE123" i="9"/>
  <c r="BA58" i="9"/>
  <c r="AE79" i="9"/>
  <c r="AC58" i="9"/>
  <c r="BF123" i="9"/>
  <c r="BF79" i="9"/>
  <c r="CR79" i="9"/>
  <c r="DK60" i="9"/>
  <c r="CQ60" i="9" s="1"/>
  <c r="G60" i="9"/>
  <c r="BS60" i="9"/>
  <c r="AY60" i="9" s="1"/>
  <c r="BP79" i="9"/>
  <c r="AB74" i="9"/>
  <c r="AX74" i="9" s="1"/>
  <c r="AQ119" i="9"/>
  <c r="BM100" i="9"/>
  <c r="BM119" i="9" s="1"/>
  <c r="DK102" i="9"/>
  <c r="BS102" i="9"/>
  <c r="G102" i="9"/>
  <c r="BA4" i="9"/>
  <c r="BI122" i="9"/>
  <c r="BI24" i="9"/>
  <c r="BQ122" i="9"/>
  <c r="BQ24" i="9"/>
  <c r="CX122" i="9"/>
  <c r="DG122" i="9"/>
  <c r="BB120" i="9"/>
  <c r="BJ120" i="9"/>
  <c r="BR120" i="9"/>
  <c r="CT120" i="9"/>
  <c r="DB120" i="9"/>
  <c r="DJ120" i="9"/>
  <c r="AY10" i="9"/>
  <c r="BT11" i="9"/>
  <c r="CP11" i="9" s="1"/>
  <c r="AC22" i="9"/>
  <c r="AY23" i="9"/>
  <c r="AD116" i="9"/>
  <c r="BF24" i="9"/>
  <c r="CA116" i="9"/>
  <c r="DC24" i="9"/>
  <c r="BB25" i="9"/>
  <c r="BJ121" i="9"/>
  <c r="BJ57" i="9"/>
  <c r="BR121" i="9"/>
  <c r="BR57" i="9"/>
  <c r="DK27" i="9"/>
  <c r="AY30" i="9"/>
  <c r="BA33" i="9"/>
  <c r="AY33" i="9" s="1"/>
  <c r="BB40" i="9"/>
  <c r="AC46" i="9"/>
  <c r="AB48" i="9"/>
  <c r="AX48" i="9" s="1"/>
  <c r="G50" i="9"/>
  <c r="BS50" i="9"/>
  <c r="AY50" i="9" s="1"/>
  <c r="BA55" i="9"/>
  <c r="AC55" i="9"/>
  <c r="CX57" i="9"/>
  <c r="AW123" i="9"/>
  <c r="AW79" i="9"/>
  <c r="DB79" i="9"/>
  <c r="BS59" i="9"/>
  <c r="AY59" i="9" s="1"/>
  <c r="BU62" i="9"/>
  <c r="CJ79" i="9"/>
  <c r="BA66" i="9"/>
  <c r="AY66" i="9" s="1"/>
  <c r="AC66" i="9"/>
  <c r="AY75" i="9"/>
  <c r="AC77" i="9"/>
  <c r="BB94" i="9"/>
  <c r="BW126" i="9"/>
  <c r="CS85" i="9"/>
  <c r="CQ85" i="9" s="1"/>
  <c r="BU85" i="9"/>
  <c r="BW94" i="9"/>
  <c r="BO118" i="9"/>
  <c r="BO123" i="9"/>
  <c r="BO114" i="9"/>
  <c r="BY118" i="9"/>
  <c r="BY114" i="9"/>
  <c r="CU99" i="9"/>
  <c r="CT122" i="9"/>
  <c r="BA54" i="9"/>
  <c r="AY54" i="9" s="1"/>
  <c r="G54" i="9"/>
  <c r="CS54" i="9"/>
  <c r="CQ54" i="9" s="1"/>
  <c r="BD123" i="9"/>
  <c r="BD79" i="9"/>
  <c r="BO121" i="9"/>
  <c r="CI122" i="9"/>
  <c r="DE4" i="9"/>
  <c r="CV122" i="9"/>
  <c r="DD122" i="9"/>
  <c r="CQ16" i="9"/>
  <c r="BX24" i="9"/>
  <c r="DA121" i="9"/>
  <c r="DA57" i="9"/>
  <c r="DI121" i="9"/>
  <c r="DI57" i="9"/>
  <c r="AB30" i="9"/>
  <c r="AX30" i="9" s="1"/>
  <c r="AY36" i="9"/>
  <c r="CO58" i="9"/>
  <c r="BN67" i="9"/>
  <c r="AY67" i="9" s="1"/>
  <c r="AC67" i="9"/>
  <c r="AB20" i="9"/>
  <c r="AX20" i="9" s="1"/>
  <c r="AY21" i="9"/>
  <c r="BD24" i="9"/>
  <c r="CT25" i="9"/>
  <c r="CQ25" i="9" s="1"/>
  <c r="AZ57" i="9"/>
  <c r="AY26" i="9"/>
  <c r="DK37" i="9"/>
  <c r="CQ37" i="9" s="1"/>
  <c r="AY43" i="9"/>
  <c r="DK44" i="9"/>
  <c r="CQ44" i="9" s="1"/>
  <c r="BS51" i="9"/>
  <c r="AY51" i="9" s="1"/>
  <c r="AC4" i="9"/>
  <c r="BJ122" i="9"/>
  <c r="BR122" i="9"/>
  <c r="CY122" i="9"/>
  <c r="DH122" i="9"/>
  <c r="BA5" i="9"/>
  <c r="AY5" i="9" s="1"/>
  <c r="BA6" i="9"/>
  <c r="I120" i="9"/>
  <c r="I24" i="9"/>
  <c r="BA8" i="9"/>
  <c r="G8" i="9"/>
  <c r="BK120" i="9"/>
  <c r="DC120" i="9"/>
  <c r="CQ14" i="9"/>
  <c r="BT19" i="9"/>
  <c r="CP19" i="9" s="1"/>
  <c r="BG24" i="9"/>
  <c r="BR24" i="9"/>
  <c r="DD24" i="9"/>
  <c r="BK121" i="9"/>
  <c r="BK57" i="9"/>
  <c r="CV121" i="9"/>
  <c r="CV57" i="9"/>
  <c r="AA121" i="9"/>
  <c r="G35" i="9"/>
  <c r="AA57" i="9"/>
  <c r="DK35" i="9"/>
  <c r="BT53" i="9"/>
  <c r="CP53" i="9" s="1"/>
  <c r="CS55" i="9"/>
  <c r="CQ55" i="9" s="1"/>
  <c r="CQ56" i="9"/>
  <c r="AF57" i="9"/>
  <c r="AW57" i="9"/>
  <c r="CZ57" i="9"/>
  <c r="BN64" i="9"/>
  <c r="DF64" i="9"/>
  <c r="CQ64" i="9" s="1"/>
  <c r="G64" i="9"/>
  <c r="BT64" i="9" s="1"/>
  <c r="BT68" i="9"/>
  <c r="CI123" i="9"/>
  <c r="DE72" i="9"/>
  <c r="DE123" i="9" s="1"/>
  <c r="AY74" i="9"/>
  <c r="CS76" i="9"/>
  <c r="CQ76" i="9" s="1"/>
  <c r="I79" i="9"/>
  <c r="BA76" i="9"/>
  <c r="AY76" i="9" s="1"/>
  <c r="G76" i="9"/>
  <c r="BC126" i="9"/>
  <c r="BC94" i="9"/>
  <c r="BK126" i="9"/>
  <c r="BK94" i="9"/>
  <c r="AK118" i="9"/>
  <c r="AK125" i="9" s="1"/>
  <c r="AK127" i="9" s="1"/>
  <c r="AK114" i="9"/>
  <c r="AK116" i="9" s="1"/>
  <c r="BG99" i="9"/>
  <c r="BG118" i="9" s="1"/>
  <c r="AV124" i="9"/>
  <c r="AV125" i="9" s="1"/>
  <c r="AV127" i="9" s="1"/>
  <c r="BR107" i="9"/>
  <c r="BR124" i="9" s="1"/>
  <c r="AW122" i="9"/>
  <c r="CS17" i="9"/>
  <c r="CQ17" i="9" s="1"/>
  <c r="BW24" i="9"/>
  <c r="CY24" i="9"/>
  <c r="AA120" i="9"/>
  <c r="BS9" i="9"/>
  <c r="BS120" i="9" s="1"/>
  <c r="BT20" i="9"/>
  <c r="CP20" i="9" s="1"/>
  <c r="AA24" i="9"/>
  <c r="BN24" i="9"/>
  <c r="AC29" i="9"/>
  <c r="BN29" i="9"/>
  <c r="AY34" i="9"/>
  <c r="BG57" i="9"/>
  <c r="BE123" i="9"/>
  <c r="BE79" i="9"/>
  <c r="AY68" i="9"/>
  <c r="AR79" i="9"/>
  <c r="BX122" i="9"/>
  <c r="AZ120" i="9"/>
  <c r="CS8" i="9"/>
  <c r="DJ121" i="9"/>
  <c r="BT72" i="9"/>
  <c r="AE122" i="9"/>
  <c r="BC122" i="9"/>
  <c r="BK122" i="9"/>
  <c r="BS4" i="9"/>
  <c r="CR122" i="9"/>
  <c r="CZ122" i="9"/>
  <c r="DI122" i="9"/>
  <c r="DI24" i="9"/>
  <c r="CS5" i="9"/>
  <c r="CQ7" i="9"/>
  <c r="AG120" i="9"/>
  <c r="AG125" i="9" s="1"/>
  <c r="AG24" i="9"/>
  <c r="BC9" i="9"/>
  <c r="CS12" i="9"/>
  <c r="CQ12" i="9" s="1"/>
  <c r="BU13" i="9"/>
  <c r="BA18" i="9"/>
  <c r="AY18" i="9" s="1"/>
  <c r="AB19" i="9"/>
  <c r="AX19" i="9" s="1"/>
  <c r="W116" i="9"/>
  <c r="AF24" i="9"/>
  <c r="DF24" i="9"/>
  <c r="BD57" i="9"/>
  <c r="BU25" i="9"/>
  <c r="CW121" i="9"/>
  <c r="DE121" i="9"/>
  <c r="BT26" i="9"/>
  <c r="BT34" i="9"/>
  <c r="V121" i="9"/>
  <c r="G39" i="9"/>
  <c r="AB39" i="9" s="1"/>
  <c r="AX39" i="9" s="1"/>
  <c r="DF39" i="9"/>
  <c r="CQ39" i="9" s="1"/>
  <c r="V57" i="9"/>
  <c r="BU40" i="9"/>
  <c r="CT41" i="9"/>
  <c r="CQ41" i="9" s="1"/>
  <c r="BU41" i="9"/>
  <c r="CQ46" i="9"/>
  <c r="BU49" i="9"/>
  <c r="DF49" i="9"/>
  <c r="CQ49" i="9" s="1"/>
  <c r="BB52" i="9"/>
  <c r="AY52" i="9" s="1"/>
  <c r="AC52" i="9"/>
  <c r="AG57" i="9"/>
  <c r="AO57" i="9"/>
  <c r="DE57" i="9"/>
  <c r="G59" i="9"/>
  <c r="AB59" i="9" s="1"/>
  <c r="AX59" i="9" s="1"/>
  <c r="V123" i="9"/>
  <c r="G61" i="9"/>
  <c r="BN61" i="9"/>
  <c r="DF61" i="9"/>
  <c r="V79" i="9"/>
  <c r="V116" i="9" s="1"/>
  <c r="AQ123" i="9"/>
  <c r="AQ79" i="9"/>
  <c r="BM72" i="9"/>
  <c r="AY72" i="9" s="1"/>
  <c r="CI79" i="9"/>
  <c r="CI116" i="9" s="1"/>
  <c r="AV114" i="9"/>
  <c r="AV116" i="9" s="1"/>
  <c r="AA122" i="9"/>
  <c r="AZ122" i="9"/>
  <c r="BH122" i="9"/>
  <c r="BP122" i="9"/>
  <c r="CO122" i="9"/>
  <c r="CW122" i="9"/>
  <c r="BI120" i="9"/>
  <c r="BQ120" i="9"/>
  <c r="CR120" i="9"/>
  <c r="CZ120" i="9"/>
  <c r="DH120" i="9"/>
  <c r="M116" i="9"/>
  <c r="BY24" i="9"/>
  <c r="CW24" i="9"/>
  <c r="AZ121" i="9"/>
  <c r="BH121" i="9"/>
  <c r="CY121" i="9"/>
  <c r="CY57" i="9"/>
  <c r="DG121" i="9"/>
  <c r="DG57" i="9"/>
  <c r="DC45" i="9"/>
  <c r="DC57" i="9" s="1"/>
  <c r="CQ53" i="9"/>
  <c r="BC55" i="9"/>
  <c r="CL57" i="9"/>
  <c r="CL116" i="9" s="1"/>
  <c r="BC123" i="9"/>
  <c r="BK123" i="9"/>
  <c r="BK79" i="9"/>
  <c r="CV123" i="9"/>
  <c r="CV79" i="9"/>
  <c r="DD123" i="9"/>
  <c r="DD79" i="9"/>
  <c r="CS69" i="9"/>
  <c r="CQ69" i="9" s="1"/>
  <c r="AC72" i="9"/>
  <c r="G77" i="9"/>
  <c r="CS77" i="9"/>
  <c r="CQ77" i="9" s="1"/>
  <c r="BA77" i="9"/>
  <c r="AY77" i="9" s="1"/>
  <c r="BD126" i="9"/>
  <c r="BD94" i="9"/>
  <c r="BL126" i="9"/>
  <c r="CY126" i="9"/>
  <c r="CY94" i="9"/>
  <c r="DG126" i="9"/>
  <c r="DG94" i="9"/>
  <c r="AB86" i="9"/>
  <c r="AX86" i="9" s="1"/>
  <c r="BT90" i="9"/>
  <c r="CO101" i="9"/>
  <c r="DK101" i="9" s="1"/>
  <c r="CJ119" i="9"/>
  <c r="DF101" i="9"/>
  <c r="AE120" i="9"/>
  <c r="BE120" i="9"/>
  <c r="CV120" i="9"/>
  <c r="DD120" i="9"/>
  <c r="Q116" i="9"/>
  <c r="BD121" i="9"/>
  <c r="BL121" i="9"/>
  <c r="CU121" i="9"/>
  <c r="DF40" i="9"/>
  <c r="CQ40" i="9" s="1"/>
  <c r="G46" i="9"/>
  <c r="K121" i="9"/>
  <c r="K125" i="9" s="1"/>
  <c r="K127" i="9" s="1"/>
  <c r="BC53" i="9"/>
  <c r="AY53" i="9" s="1"/>
  <c r="G56" i="9"/>
  <c r="AB56" i="9" s="1"/>
  <c r="AX56" i="9" s="1"/>
  <c r="BH57" i="9"/>
  <c r="BG123" i="9"/>
  <c r="BG79" i="9"/>
  <c r="BO122" i="9"/>
  <c r="BO79" i="9"/>
  <c r="CZ123" i="9"/>
  <c r="CZ79" i="9"/>
  <c r="DH123" i="9"/>
  <c r="DH79" i="9"/>
  <c r="BN62" i="9"/>
  <c r="AY62" i="9" s="1"/>
  <c r="AO123" i="9"/>
  <c r="AO79" i="9"/>
  <c r="AC63" i="9"/>
  <c r="BU70" i="9"/>
  <c r="CQ73" i="9"/>
  <c r="DC126" i="9"/>
  <c r="DC94" i="9"/>
  <c r="CX94" i="9"/>
  <c r="AZ82" i="9"/>
  <c r="AY82" i="9" s="1"/>
  <c r="G82" i="9"/>
  <c r="CR82" i="9"/>
  <c r="CQ82" i="9" s="1"/>
  <c r="CQ84" i="9"/>
  <c r="BS87" i="9"/>
  <c r="G87" i="9"/>
  <c r="DK87" i="9"/>
  <c r="BU87" i="9"/>
  <c r="DK88" i="9"/>
  <c r="CY114" i="9"/>
  <c r="J119" i="9"/>
  <c r="J125" i="9" s="1"/>
  <c r="J127" i="9" s="1"/>
  <c r="J114" i="9"/>
  <c r="J116" i="9" s="1"/>
  <c r="BB100" i="9"/>
  <c r="CT100" i="9"/>
  <c r="CT119" i="9" s="1"/>
  <c r="CS109" i="9"/>
  <c r="CQ109" i="9" s="1"/>
  <c r="BU109" i="9"/>
  <c r="AR120" i="9"/>
  <c r="BN113" i="9"/>
  <c r="DD121" i="9"/>
  <c r="I121" i="9"/>
  <c r="BP38" i="9"/>
  <c r="BP57" i="9" s="1"/>
  <c r="S57" i="9"/>
  <c r="CR123" i="9"/>
  <c r="CV126" i="9"/>
  <c r="CV94" i="9"/>
  <c r="BV94" i="9"/>
  <c r="BV116" i="9" s="1"/>
  <c r="BH94" i="9"/>
  <c r="BP94" i="9"/>
  <c r="AZ87" i="9"/>
  <c r="AC87" i="9"/>
  <c r="AB89" i="9"/>
  <c r="AX89" i="9" s="1"/>
  <c r="AY91" i="9"/>
  <c r="BT95" i="9"/>
  <c r="CP95" i="9" s="1"/>
  <c r="DD118" i="9"/>
  <c r="CR114" i="9"/>
  <c r="BS56" i="9"/>
  <c r="AY56" i="9" s="1"/>
  <c r="DD57" i="9"/>
  <c r="BI123" i="9"/>
  <c r="BI79" i="9"/>
  <c r="BQ123" i="9"/>
  <c r="BQ79" i="9"/>
  <c r="CT123" i="9"/>
  <c r="CT79" i="9"/>
  <c r="DB123" i="9"/>
  <c r="DJ123" i="9"/>
  <c r="DJ79" i="9"/>
  <c r="CU79" i="9"/>
  <c r="DF65" i="9"/>
  <c r="CQ66" i="9"/>
  <c r="AB71" i="9"/>
  <c r="AX71" i="9" s="1"/>
  <c r="BB126" i="9"/>
  <c r="BJ126" i="9"/>
  <c r="BJ94" i="9"/>
  <c r="BR94" i="9"/>
  <c r="AZ81" i="9"/>
  <c r="AY81" i="9" s="1"/>
  <c r="G81" i="9"/>
  <c r="CR81" i="9"/>
  <c r="CQ81" i="9" s="1"/>
  <c r="CO88" i="9"/>
  <c r="BU88" i="9" s="1"/>
  <c r="DD88" i="9"/>
  <c r="AY89" i="9"/>
  <c r="AB95" i="9"/>
  <c r="AX95" i="9" s="1"/>
  <c r="CF119" i="9"/>
  <c r="CF125" i="9" s="1"/>
  <c r="CF127" i="9" s="1"/>
  <c r="CF114" i="9"/>
  <c r="CF116" i="9" s="1"/>
  <c r="DB100" i="9"/>
  <c r="DB119" i="9" s="1"/>
  <c r="G103" i="9"/>
  <c r="BS103" i="9"/>
  <c r="CR89" i="9"/>
  <c r="BU89" i="9"/>
  <c r="AJ114" i="9"/>
  <c r="AJ116" i="9" s="1"/>
  <c r="AJ118" i="9"/>
  <c r="AJ125" i="9" s="1"/>
  <c r="AJ127" i="9" s="1"/>
  <c r="BF99" i="9"/>
  <c r="BF114" i="9" s="1"/>
  <c r="DC119" i="9"/>
  <c r="AZ123" i="9"/>
  <c r="BH123" i="9"/>
  <c r="BH79" i="9"/>
  <c r="BP123" i="9"/>
  <c r="CY123" i="9"/>
  <c r="DG123" i="9"/>
  <c r="DF62" i="9"/>
  <c r="CQ62" i="9" s="1"/>
  <c r="AY63" i="9"/>
  <c r="DK65" i="9"/>
  <c r="G65" i="9"/>
  <c r="BT65" i="9" s="1"/>
  <c r="DG79" i="9"/>
  <c r="BG126" i="9"/>
  <c r="DH94" i="9"/>
  <c r="AC82" i="9"/>
  <c r="AW126" i="9"/>
  <c r="AW94" i="9"/>
  <c r="CH126" i="9"/>
  <c r="BU91" i="9"/>
  <c r="AC92" i="9"/>
  <c r="BA92" i="9"/>
  <c r="BA94" i="9" s="1"/>
  <c r="AY95" i="9"/>
  <c r="BP114" i="9"/>
  <c r="DB114" i="9"/>
  <c r="DJ114" i="9"/>
  <c r="BT96" i="9"/>
  <c r="CP96" i="9" s="1"/>
  <c r="DF99" i="9"/>
  <c r="DF118" i="9" s="1"/>
  <c r="V114" i="9"/>
  <c r="CD118" i="9"/>
  <c r="CD125" i="9" s="1"/>
  <c r="CD127" i="9" s="1"/>
  <c r="CD114" i="9"/>
  <c r="CD116" i="9" s="1"/>
  <c r="CZ99" i="9"/>
  <c r="CZ118" i="9" s="1"/>
  <c r="AZ119" i="9"/>
  <c r="AW114" i="9"/>
  <c r="DA126" i="9"/>
  <c r="DA94" i="9"/>
  <c r="DI126" i="9"/>
  <c r="DI94" i="9"/>
  <c r="AS126" i="9"/>
  <c r="AS94" i="9"/>
  <c r="AS116" i="9" s="1"/>
  <c r="BO82" i="9"/>
  <c r="DC114" i="9"/>
  <c r="BE118" i="9"/>
  <c r="BE114" i="9"/>
  <c r="CH118" i="9"/>
  <c r="CH114" i="9"/>
  <c r="CH116" i="9" s="1"/>
  <c r="DH119" i="9"/>
  <c r="CQ104" i="9"/>
  <c r="BT112" i="9"/>
  <c r="BB123" i="9"/>
  <c r="BB79" i="9"/>
  <c r="BJ123" i="9"/>
  <c r="DA123" i="9"/>
  <c r="DI123" i="9"/>
  <c r="DI79" i="9"/>
  <c r="BI126" i="9"/>
  <c r="BI94" i="9"/>
  <c r="BQ126" i="9"/>
  <c r="BQ94" i="9"/>
  <c r="DB126" i="9"/>
  <c r="DB94" i="9"/>
  <c r="DJ126" i="9"/>
  <c r="DJ94" i="9"/>
  <c r="BT86" i="9"/>
  <c r="CQ91" i="9"/>
  <c r="BR114" i="9"/>
  <c r="AQ114" i="9"/>
  <c r="AQ118" i="9"/>
  <c r="AD118" i="9"/>
  <c r="AC99" i="9"/>
  <c r="BZ119" i="9"/>
  <c r="BZ125" i="9" s="1"/>
  <c r="BZ127" i="9" s="1"/>
  <c r="CV100" i="9"/>
  <c r="CV119" i="9" s="1"/>
  <c r="BZ114" i="9"/>
  <c r="BZ116" i="9" s="1"/>
  <c r="DI119" i="9"/>
  <c r="AB104" i="9"/>
  <c r="AX104" i="9" s="1"/>
  <c r="AB112" i="9"/>
  <c r="AX112" i="9" s="1"/>
  <c r="AR123" i="9"/>
  <c r="CJ123" i="9"/>
  <c r="I123" i="9"/>
  <c r="BH126" i="9"/>
  <c r="CZ126" i="9"/>
  <c r="DH126" i="9"/>
  <c r="CK126" i="9"/>
  <c r="CK94" i="9"/>
  <c r="CK116" i="9" s="1"/>
  <c r="BO86" i="9"/>
  <c r="AY86" i="9" s="1"/>
  <c r="AR126" i="9"/>
  <c r="BN87" i="9"/>
  <c r="BN94" i="9" s="1"/>
  <c r="BY126" i="9"/>
  <c r="BY94" i="9"/>
  <c r="BS92" i="9"/>
  <c r="AR94" i="9"/>
  <c r="BI114" i="9"/>
  <c r="BD118" i="9"/>
  <c r="DC118" i="9"/>
  <c r="AG114" i="9"/>
  <c r="AF99" i="9"/>
  <c r="CX99" i="9"/>
  <c r="CX118" i="9" s="1"/>
  <c r="CB114" i="9"/>
  <c r="CB116" i="9" s="1"/>
  <c r="BY119" i="9"/>
  <c r="BU100" i="9"/>
  <c r="BS101" i="9"/>
  <c r="AY101" i="9" s="1"/>
  <c r="CH119" i="9"/>
  <c r="DD103" i="9"/>
  <c r="DD114" i="9" s="1"/>
  <c r="CO103" i="9"/>
  <c r="BU103" i="9" s="1"/>
  <c r="I114" i="9"/>
  <c r="BA108" i="9"/>
  <c r="BA109" i="9"/>
  <c r="AY109" i="9" s="1"/>
  <c r="AC109" i="9"/>
  <c r="G113" i="9"/>
  <c r="DK113" i="9"/>
  <c r="DF113" i="9"/>
  <c r="AA114" i="9"/>
  <c r="AF126" i="9"/>
  <c r="BH118" i="9"/>
  <c r="AP118" i="9"/>
  <c r="AP125" i="9" s="1"/>
  <c r="AP114" i="9"/>
  <c r="CJ114" i="9"/>
  <c r="BF119" i="9"/>
  <c r="BE119" i="9"/>
  <c r="BT110" i="9"/>
  <c r="AY113" i="9"/>
  <c r="BQ114" i="9"/>
  <c r="BU77" i="9"/>
  <c r="BE126" i="9"/>
  <c r="BE94" i="9"/>
  <c r="CW126" i="9"/>
  <c r="CW94" i="9"/>
  <c r="DF87" i="9"/>
  <c r="AC90" i="9"/>
  <c r="AF94" i="9"/>
  <c r="AA119" i="9"/>
  <c r="BS100" i="9"/>
  <c r="DD119" i="9"/>
  <c r="DK105" i="9"/>
  <c r="BS105" i="9"/>
  <c r="AY105" i="9" s="1"/>
  <c r="Y124" i="9"/>
  <c r="Y125" i="9" s="1"/>
  <c r="Y127" i="9" s="1"/>
  <c r="Y114" i="9"/>
  <c r="Y116" i="9" s="1"/>
  <c r="DI107" i="9"/>
  <c r="DI114" i="9" s="1"/>
  <c r="CQ111" i="9"/>
  <c r="AD126" i="9"/>
  <c r="AE126" i="9"/>
  <c r="AC85" i="9"/>
  <c r="AP126" i="9"/>
  <c r="AG126" i="9"/>
  <c r="AG94" i="9"/>
  <c r="AP94" i="9"/>
  <c r="AP116" i="9" s="1"/>
  <c r="DG114" i="9"/>
  <c r="DJ118" i="9"/>
  <c r="AR118" i="9"/>
  <c r="AR114" i="9"/>
  <c r="BL99" i="9"/>
  <c r="BL118" i="9" s="1"/>
  <c r="DJ119" i="9"/>
  <c r="AC106" i="9"/>
  <c r="AE119" i="9"/>
  <c r="BA106" i="9"/>
  <c r="AY106" i="9" s="1"/>
  <c r="BW119" i="9"/>
  <c r="BW114" i="9"/>
  <c r="CS106" i="9"/>
  <c r="BU106" i="9"/>
  <c r="BT107" i="9"/>
  <c r="BA110" i="9"/>
  <c r="AY110" i="9" s="1"/>
  <c r="G110" i="9"/>
  <c r="AB110" i="9" s="1"/>
  <c r="AX110" i="9" s="1"/>
  <c r="U118" i="9"/>
  <c r="U125" i="9" s="1"/>
  <c r="U127" i="9" s="1"/>
  <c r="CB118" i="9"/>
  <c r="CB125" i="9" s="1"/>
  <c r="CB127" i="9" s="1"/>
  <c r="CU123" i="9"/>
  <c r="BF126" i="9"/>
  <c r="BV126" i="9"/>
  <c r="CX126" i="9"/>
  <c r="CW102" i="9"/>
  <c r="AU114" i="9"/>
  <c r="AU116" i="9" s="1"/>
  <c r="AM125" i="9"/>
  <c r="AM127" i="9" s="1"/>
  <c r="DA114" i="9"/>
  <c r="BU99" i="9"/>
  <c r="AF119" i="9"/>
  <c r="BI119" i="9"/>
  <c r="BQ119" i="9"/>
  <c r="CX119" i="9"/>
  <c r="AC103" i="9"/>
  <c r="DF106" i="9"/>
  <c r="G106" i="9"/>
  <c r="AC107" i="9"/>
  <c r="BR119" i="9"/>
  <c r="CY119" i="9"/>
  <c r="DG119" i="9"/>
  <c r="G101" i="9"/>
  <c r="AC102" i="9"/>
  <c r="BL103" i="9"/>
  <c r="AY103" i="9" s="1"/>
  <c r="AH114" i="9"/>
  <c r="AH116" i="9" s="1"/>
  <c r="AT125" i="9"/>
  <c r="AT127" i="9" s="1"/>
  <c r="BC119" i="9"/>
  <c r="BK119" i="9"/>
  <c r="BX119" i="9"/>
  <c r="G105" i="9"/>
  <c r="AR122" i="9"/>
  <c r="BN112" i="9"/>
  <c r="AI114" i="9"/>
  <c r="AI116" i="9" s="1"/>
  <c r="BS111" i="9"/>
  <c r="AY111" i="9" s="1"/>
  <c r="H125" i="9"/>
  <c r="AS125" i="9"/>
  <c r="Z125" i="9"/>
  <c r="Z127" i="9" s="1"/>
  <c r="AH125" i="9"/>
  <c r="AH127" i="9" s="1"/>
  <c r="BV125" i="9"/>
  <c r="CL125" i="9"/>
  <c r="CL127" i="9" s="1"/>
  <c r="CE125" i="9"/>
  <c r="CE127" i="9" s="1"/>
  <c r="CM125" i="9"/>
  <c r="CM127" i="9" s="1"/>
  <c r="CN125" i="9"/>
  <c r="CN127" i="9" s="1"/>
  <c r="CP27" i="9" l="1"/>
  <c r="DQ27" i="9"/>
  <c r="AJ128" i="10"/>
  <c r="CP52" i="9"/>
  <c r="DQ52" i="9"/>
  <c r="CP33" i="9"/>
  <c r="DQ33" i="9"/>
  <c r="AG128" i="10"/>
  <c r="AH128" i="10"/>
  <c r="CP86" i="9"/>
  <c r="DQ86" i="9"/>
  <c r="CP90" i="9"/>
  <c r="DQ90" i="9"/>
  <c r="CP78" i="9"/>
  <c r="DQ78" i="9"/>
  <c r="CJ116" i="10"/>
  <c r="AO128" i="10"/>
  <c r="BA57" i="10"/>
  <c r="BT16" i="10"/>
  <c r="CP16" i="10" s="1"/>
  <c r="BN114" i="9"/>
  <c r="BB119" i="9"/>
  <c r="CP26" i="9"/>
  <c r="DQ26" i="9"/>
  <c r="CQ112" i="10"/>
  <c r="DI128" i="10"/>
  <c r="DH125" i="10"/>
  <c r="DH127" i="10" s="1"/>
  <c r="BN126" i="9"/>
  <c r="CP107" i="9"/>
  <c r="DQ107" i="9"/>
  <c r="CP72" i="9"/>
  <c r="DQ72" i="9"/>
  <c r="CQ35" i="9"/>
  <c r="CP43" i="9"/>
  <c r="DQ43" i="9"/>
  <c r="CP44" i="9"/>
  <c r="DQ44" i="9"/>
  <c r="AG127" i="10"/>
  <c r="CD128" i="10"/>
  <c r="DK58" i="10"/>
  <c r="CQ58" i="10" s="1"/>
  <c r="AY85" i="10"/>
  <c r="DF123" i="10"/>
  <c r="AE125" i="10"/>
  <c r="AE127" i="10" s="1"/>
  <c r="CS94" i="10"/>
  <c r="BK121" i="10"/>
  <c r="BU123" i="10"/>
  <c r="BF125" i="10"/>
  <c r="BF127" i="10" s="1"/>
  <c r="AI128" i="10"/>
  <c r="BD114" i="10"/>
  <c r="CU24" i="10"/>
  <c r="CQ72" i="10"/>
  <c r="CS121" i="10"/>
  <c r="BB24" i="10"/>
  <c r="BB116" i="10" s="1"/>
  <c r="CQ7" i="10"/>
  <c r="DO7" i="10" s="1"/>
  <c r="DC79" i="10"/>
  <c r="BW116" i="10"/>
  <c r="BS121" i="10"/>
  <c r="CS24" i="10"/>
  <c r="CP51" i="9"/>
  <c r="DQ51" i="9"/>
  <c r="CY118" i="10"/>
  <c r="CY125" i="10" s="1"/>
  <c r="CP66" i="9"/>
  <c r="DQ66" i="9"/>
  <c r="DF49" i="10"/>
  <c r="DF57" i="10" s="1"/>
  <c r="BU49" i="10"/>
  <c r="CP112" i="9"/>
  <c r="DQ112" i="9"/>
  <c r="CM128" i="10"/>
  <c r="CP124" i="9"/>
  <c r="DQ126" i="9"/>
  <c r="CP104" i="9"/>
  <c r="DQ104" i="9"/>
  <c r="AU125" i="9"/>
  <c r="AU127" i="9" s="1"/>
  <c r="DK94" i="9"/>
  <c r="CV127" i="10"/>
  <c r="BU126" i="10"/>
  <c r="BC118" i="10"/>
  <c r="AY87" i="9"/>
  <c r="BF118" i="9"/>
  <c r="DE94" i="9"/>
  <c r="CT126" i="9"/>
  <c r="CX118" i="10"/>
  <c r="CX125" i="10" s="1"/>
  <c r="CX127" i="10" s="1"/>
  <c r="BG125" i="10"/>
  <c r="BG127" i="10" s="1"/>
  <c r="BM94" i="10"/>
  <c r="BH114" i="10"/>
  <c r="BH116" i="10" s="1"/>
  <c r="BH128" i="10" s="1"/>
  <c r="AY77" i="10"/>
  <c r="DN77" i="10" s="1"/>
  <c r="AY65" i="10"/>
  <c r="DN65" i="10" s="1"/>
  <c r="AY87" i="10"/>
  <c r="DN12" i="10"/>
  <c r="BU122" i="10"/>
  <c r="AY45" i="10"/>
  <c r="DN45" i="10" s="1"/>
  <c r="DF121" i="10"/>
  <c r="BG116" i="10"/>
  <c r="BG128" i="10" s="1"/>
  <c r="DO27" i="10"/>
  <c r="AK128" i="10"/>
  <c r="CQ56" i="10"/>
  <c r="DO56" i="10" s="1"/>
  <c r="AY40" i="9"/>
  <c r="CP28" i="9"/>
  <c r="DQ28" i="9"/>
  <c r="DG127" i="10"/>
  <c r="DJ114" i="10"/>
  <c r="DJ116" i="10" s="1"/>
  <c r="DJ128" i="10" s="1"/>
  <c r="DD127" i="10"/>
  <c r="CG128" i="10"/>
  <c r="CP34" i="9"/>
  <c r="DQ34" i="9"/>
  <c r="AW125" i="10"/>
  <c r="AW127" i="10" s="1"/>
  <c r="CL128" i="10"/>
  <c r="CP84" i="9"/>
  <c r="DQ84" i="9"/>
  <c r="CP68" i="9"/>
  <c r="DQ68" i="9"/>
  <c r="CF128" i="10"/>
  <c r="AC121" i="10"/>
  <c r="AY4" i="10"/>
  <c r="CW116" i="10"/>
  <c r="CW128" i="10" s="1"/>
  <c r="CP67" i="9"/>
  <c r="DQ67" i="9"/>
  <c r="CP93" i="9"/>
  <c r="DQ93" i="9"/>
  <c r="CP69" i="9"/>
  <c r="DQ69" i="9"/>
  <c r="DC116" i="10"/>
  <c r="DO12" i="10"/>
  <c r="DC123" i="9"/>
  <c r="CS114" i="9"/>
  <c r="CQ105" i="9"/>
  <c r="CP110" i="9"/>
  <c r="DQ110" i="9"/>
  <c r="BJ114" i="9"/>
  <c r="CP65" i="9"/>
  <c r="DQ65" i="9"/>
  <c r="AB35" i="9"/>
  <c r="AX35" i="9" s="1"/>
  <c r="CP108" i="9"/>
  <c r="DQ108" i="9"/>
  <c r="DO67" i="10"/>
  <c r="CW114" i="10"/>
  <c r="DG126" i="10"/>
  <c r="AY64" i="10"/>
  <c r="DN64" i="10" s="1"/>
  <c r="BB122" i="10"/>
  <c r="AC94" i="10"/>
  <c r="AB94" i="10" s="1"/>
  <c r="AX94" i="10" s="1"/>
  <c r="DC123" i="10"/>
  <c r="BN123" i="10"/>
  <c r="DN27" i="10"/>
  <c r="DE79" i="10"/>
  <c r="CP39" i="9"/>
  <c r="DQ39" i="9"/>
  <c r="BT38" i="9"/>
  <c r="AY35" i="9"/>
  <c r="DK118" i="9"/>
  <c r="AY102" i="9"/>
  <c r="CP31" i="9"/>
  <c r="DQ31" i="9"/>
  <c r="BT50" i="9"/>
  <c r="CS120" i="10"/>
  <c r="CQ120" i="10" s="1"/>
  <c r="CK128" i="10"/>
  <c r="CT114" i="10"/>
  <c r="CP64" i="9"/>
  <c r="DQ64" i="9"/>
  <c r="CZ125" i="10"/>
  <c r="CZ127" i="10" s="1"/>
  <c r="BC24" i="9"/>
  <c r="BF116" i="9"/>
  <c r="CP80" i="9"/>
  <c r="DQ80" i="9"/>
  <c r="CP37" i="9"/>
  <c r="DQ37" i="9"/>
  <c r="AY107" i="10"/>
  <c r="DN107" i="10" s="1"/>
  <c r="BS119" i="10"/>
  <c r="BS123" i="10"/>
  <c r="BM123" i="10"/>
  <c r="CM125" i="10"/>
  <c r="CM127" i="10" s="1"/>
  <c r="CO94" i="10"/>
  <c r="BP125" i="10"/>
  <c r="BP127" i="10" s="1"/>
  <c r="BF116" i="10"/>
  <c r="BF128" i="10" s="1"/>
  <c r="BN119" i="9"/>
  <c r="BB121" i="10"/>
  <c r="BB125" i="10" s="1"/>
  <c r="BB127" i="10" s="1"/>
  <c r="CP36" i="9"/>
  <c r="DQ36" i="9"/>
  <c r="BN122" i="9"/>
  <c r="AZ118" i="9"/>
  <c r="AZ125" i="9" s="1"/>
  <c r="CQ113" i="9"/>
  <c r="AY112" i="9"/>
  <c r="CQ102" i="9"/>
  <c r="DF119" i="9"/>
  <c r="BM114" i="9"/>
  <c r="DD126" i="9"/>
  <c r="BU120" i="9"/>
  <c r="BJ116" i="9"/>
  <c r="CO94" i="9"/>
  <c r="CQ87" i="9"/>
  <c r="BK125" i="9"/>
  <c r="BK127" i="9" s="1"/>
  <c r="AC94" i="9"/>
  <c r="CS94" i="9"/>
  <c r="BA126" i="9"/>
  <c r="AY124" i="9"/>
  <c r="AY64" i="9"/>
  <c r="CQ72" i="9"/>
  <c r="DK67" i="9"/>
  <c r="CQ67" i="9" s="1"/>
  <c r="AC120" i="9"/>
  <c r="BC57" i="9"/>
  <c r="BS121" i="9"/>
  <c r="H127" i="9"/>
  <c r="BC121" i="9"/>
  <c r="CU57" i="9"/>
  <c r="DF57" i="9"/>
  <c r="BH125" i="9"/>
  <c r="BH127" i="9" s="1"/>
  <c r="BT55" i="9"/>
  <c r="AB50" i="9"/>
  <c r="AX50" i="9" s="1"/>
  <c r="DC121" i="9"/>
  <c r="BD125" i="9"/>
  <c r="BD127" i="9" s="1"/>
  <c r="BB122" i="9"/>
  <c r="BX125" i="9"/>
  <c r="BX127" i="9" s="1"/>
  <c r="CV125" i="9"/>
  <c r="CV127" i="9" s="1"/>
  <c r="AC121" i="9"/>
  <c r="BU122" i="9"/>
  <c r="BQ125" i="9"/>
  <c r="BQ127" i="9" s="1"/>
  <c r="BI125" i="9"/>
  <c r="BI127" i="9" s="1"/>
  <c r="DK9" i="9"/>
  <c r="CQ9" i="9" s="1"/>
  <c r="AG127" i="9"/>
  <c r="AO125" i="9"/>
  <c r="AO127" i="9" s="1"/>
  <c r="CQ5" i="9"/>
  <c r="AC122" i="9"/>
  <c r="CI125" i="9"/>
  <c r="CI127" i="9" s="1"/>
  <c r="AY7" i="9"/>
  <c r="CQ65" i="9"/>
  <c r="DK126" i="9"/>
  <c r="CU120" i="9"/>
  <c r="CQ28" i="9"/>
  <c r="BS94" i="9"/>
  <c r="AY9" i="9"/>
  <c r="BU121" i="9"/>
  <c r="AE116" i="9"/>
  <c r="BT98" i="9"/>
  <c r="BS118" i="9"/>
  <c r="BA119" i="9"/>
  <c r="CO126" i="9"/>
  <c r="BU126" i="9" s="1"/>
  <c r="BA114" i="9"/>
  <c r="CK127" i="9"/>
  <c r="BM123" i="9"/>
  <c r="BL119" i="9"/>
  <c r="BL125" i="9" s="1"/>
  <c r="BL127" i="9" s="1"/>
  <c r="CH125" i="9"/>
  <c r="CH127" i="9" s="1"/>
  <c r="BD114" i="9"/>
  <c r="BD116" i="9" s="1"/>
  <c r="S116" i="9"/>
  <c r="AO116" i="9"/>
  <c r="CO24" i="9"/>
  <c r="V125" i="9"/>
  <c r="V127" i="9" s="1"/>
  <c r="AW125" i="9"/>
  <c r="AW127" i="9" s="1"/>
  <c r="DG125" i="9"/>
  <c r="DG127" i="9" s="1"/>
  <c r="BS114" i="9"/>
  <c r="CT24" i="9"/>
  <c r="DH121" i="9"/>
  <c r="DH125" i="9" s="1"/>
  <c r="DH127" i="9" s="1"/>
  <c r="BP116" i="9"/>
  <c r="BJ125" i="9"/>
  <c r="BJ127" i="9" s="1"/>
  <c r="CU126" i="9"/>
  <c r="BS126" i="9"/>
  <c r="DH116" i="9"/>
  <c r="BH116" i="9"/>
  <c r="CU94" i="9"/>
  <c r="BU9" i="9"/>
  <c r="BT9" i="9" s="1"/>
  <c r="CP9" i="9" s="1"/>
  <c r="AY38" i="9"/>
  <c r="CX125" i="9"/>
  <c r="CX127" i="9" s="1"/>
  <c r="BQ116" i="9"/>
  <c r="BN57" i="9"/>
  <c r="I116" i="9"/>
  <c r="G122" i="9"/>
  <c r="CQ99" i="9"/>
  <c r="CJ116" i="9"/>
  <c r="BW125" i="9"/>
  <c r="BW127" i="9" s="1"/>
  <c r="DK120" i="9"/>
  <c r="DB116" i="9"/>
  <c r="G118" i="9"/>
  <c r="CJ125" i="9"/>
  <c r="CJ127" i="9" s="1"/>
  <c r="BP121" i="9"/>
  <c r="BP125" i="9" s="1"/>
  <c r="BP127" i="9" s="1"/>
  <c r="BN79" i="9"/>
  <c r="BG125" i="9"/>
  <c r="BG127" i="9" s="1"/>
  <c r="BK116" i="9"/>
  <c r="BX116" i="9"/>
  <c r="AA125" i="9"/>
  <c r="AA127" i="9" s="1"/>
  <c r="DK122" i="9"/>
  <c r="DE79" i="9"/>
  <c r="DF121" i="9"/>
  <c r="DE114" i="9"/>
  <c r="AB111" i="9"/>
  <c r="AX111" i="9" s="1"/>
  <c r="BT111" i="9"/>
  <c r="CP111" i="9" s="1"/>
  <c r="CY125" i="9"/>
  <c r="CY127" i="9" s="1"/>
  <c r="DJ116" i="9"/>
  <c r="I125" i="9"/>
  <c r="I127" i="9" s="1"/>
  <c r="CQ98" i="9"/>
  <c r="BR125" i="9"/>
  <c r="BR127" i="9" s="1"/>
  <c r="AY107" i="9"/>
  <c r="CQ101" i="9"/>
  <c r="DF123" i="9"/>
  <c r="DA125" i="9"/>
  <c r="DA127" i="9" s="1"/>
  <c r="DK121" i="9"/>
  <c r="BO126" i="9"/>
  <c r="DB125" i="9"/>
  <c r="DB127" i="9" s="1"/>
  <c r="CS57" i="9"/>
  <c r="AY6" i="9"/>
  <c r="BU118" i="9"/>
  <c r="DF79" i="9"/>
  <c r="AR116" i="9"/>
  <c r="AQ116" i="9"/>
  <c r="DO124" i="10"/>
  <c r="DN124" i="10"/>
  <c r="BZ128" i="10"/>
  <c r="BI128" i="10"/>
  <c r="CQ9" i="10"/>
  <c r="DM24" i="10"/>
  <c r="AB121" i="10"/>
  <c r="AX121" i="10" s="1"/>
  <c r="DD116" i="10"/>
  <c r="DD128" i="10" s="1"/>
  <c r="AA128" i="10"/>
  <c r="CJ128" i="10"/>
  <c r="BN125" i="10"/>
  <c r="BN127" i="10" s="1"/>
  <c r="BQ128" i="10"/>
  <c r="CH128" i="10"/>
  <c r="DE118" i="10"/>
  <c r="DE125" i="10" s="1"/>
  <c r="DE127" i="10" s="1"/>
  <c r="DE114" i="10"/>
  <c r="CY127" i="10"/>
  <c r="G124" i="10"/>
  <c r="DM124" i="10" s="1"/>
  <c r="DM107" i="10"/>
  <c r="BN114" i="10"/>
  <c r="BU118" i="10"/>
  <c r="DO65" i="10"/>
  <c r="BT65" i="10"/>
  <c r="CP65" i="10" s="1"/>
  <c r="BS79" i="10"/>
  <c r="CR126" i="10"/>
  <c r="CR94" i="10"/>
  <c r="CQ80" i="10"/>
  <c r="BY121" i="10"/>
  <c r="BU121" i="10" s="1"/>
  <c r="BY57" i="10"/>
  <c r="DN89" i="10"/>
  <c r="AB89" i="10"/>
  <c r="AX89" i="10" s="1"/>
  <c r="DB125" i="10"/>
  <c r="DB127" i="10" s="1"/>
  <c r="BU79" i="10"/>
  <c r="DO58" i="10"/>
  <c r="BT58" i="10"/>
  <c r="CP58" i="10" s="1"/>
  <c r="DN49" i="10"/>
  <c r="AB49" i="10"/>
  <c r="AX49" i="10" s="1"/>
  <c r="Y128" i="10"/>
  <c r="CQ62" i="10"/>
  <c r="DO62" i="10" s="1"/>
  <c r="AW128" i="10"/>
  <c r="DO4" i="10"/>
  <c r="BT4" i="10"/>
  <c r="CP4" i="10" s="1"/>
  <c r="BX116" i="10"/>
  <c r="BX128" i="10" s="1"/>
  <c r="AC57" i="10"/>
  <c r="AB13" i="10"/>
  <c r="AX13" i="10" s="1"/>
  <c r="DN13" i="10"/>
  <c r="AC123" i="10"/>
  <c r="CO120" i="10"/>
  <c r="BU120" i="10" s="1"/>
  <c r="DK9" i="10"/>
  <c r="DK120" i="10" s="1"/>
  <c r="CJ125" i="10"/>
  <c r="CJ127" i="10" s="1"/>
  <c r="G119" i="10"/>
  <c r="DM119" i="10" s="1"/>
  <c r="DM100" i="10"/>
  <c r="AB100" i="10"/>
  <c r="AX100" i="10" s="1"/>
  <c r="G114" i="10"/>
  <c r="DM114" i="10" s="1"/>
  <c r="AF127" i="10"/>
  <c r="CZ114" i="10"/>
  <c r="CZ116" i="10" s="1"/>
  <c r="CZ128" i="10" s="1"/>
  <c r="AC119" i="10"/>
  <c r="BT100" i="10"/>
  <c r="CP100" i="10" s="1"/>
  <c r="AB88" i="10"/>
  <c r="AX88" i="10" s="1"/>
  <c r="DN88" i="10"/>
  <c r="AR125" i="10"/>
  <c r="AR127" i="10" s="1"/>
  <c r="AR128" i="10" s="1"/>
  <c r="AF116" i="10"/>
  <c r="AF128" i="10" s="1"/>
  <c r="DM60" i="10"/>
  <c r="BT60" i="10"/>
  <c r="CP60" i="10" s="1"/>
  <c r="BU55" i="10"/>
  <c r="BA121" i="10"/>
  <c r="CQ98" i="10"/>
  <c r="DO98" i="10" s="1"/>
  <c r="BA94" i="10"/>
  <c r="G79" i="10"/>
  <c r="DM79" i="10" s="1"/>
  <c r="BT25" i="10"/>
  <c r="CP25" i="10" s="1"/>
  <c r="DO25" i="10"/>
  <c r="AY100" i="10"/>
  <c r="DN100" i="10" s="1"/>
  <c r="BT61" i="10"/>
  <c r="CP61" i="10" s="1"/>
  <c r="CI116" i="10"/>
  <c r="BT6" i="10"/>
  <c r="CP6" i="10" s="1"/>
  <c r="DO6" i="10"/>
  <c r="DE94" i="10"/>
  <c r="DE116" i="10" s="1"/>
  <c r="DK122" i="10"/>
  <c r="DK125" i="10" s="1"/>
  <c r="BT113" i="10"/>
  <c r="CP113" i="10" s="1"/>
  <c r="DO113" i="10"/>
  <c r="AY83" i="10"/>
  <c r="DN83" i="10" s="1"/>
  <c r="BN79" i="10"/>
  <c r="AB44" i="10"/>
  <c r="AX44" i="10" s="1"/>
  <c r="DN44" i="10"/>
  <c r="DA116" i="10"/>
  <c r="DA128" i="10" s="1"/>
  <c r="CQ45" i="10"/>
  <c r="DO45" i="10" s="1"/>
  <c r="BU9" i="10"/>
  <c r="CO119" i="10"/>
  <c r="BU119" i="10" s="1"/>
  <c r="AB83" i="10"/>
  <c r="AX83" i="10" s="1"/>
  <c r="AB52" i="10"/>
  <c r="AX52" i="10" s="1"/>
  <c r="DN52" i="10"/>
  <c r="DN87" i="10"/>
  <c r="AB87" i="10"/>
  <c r="AX87" i="10" s="1"/>
  <c r="CT121" i="10"/>
  <c r="CT57" i="10"/>
  <c r="CQ25" i="10"/>
  <c r="BR128" i="10"/>
  <c r="AB9" i="10"/>
  <c r="AX9" i="10" s="1"/>
  <c r="DK119" i="10"/>
  <c r="G121" i="10"/>
  <c r="DM121" i="10" s="1"/>
  <c r="AB102" i="10"/>
  <c r="AX102" i="10" s="1"/>
  <c r="G123" i="10"/>
  <c r="DM123" i="10" s="1"/>
  <c r="BL116" i="10"/>
  <c r="BT35" i="10"/>
  <c r="CP35" i="10" s="1"/>
  <c r="G57" i="10"/>
  <c r="DM57" i="10" s="1"/>
  <c r="AY28" i="10"/>
  <c r="AB22" i="10"/>
  <c r="AX22" i="10" s="1"/>
  <c r="DM22" i="10"/>
  <c r="BT15" i="10"/>
  <c r="CP15" i="10" s="1"/>
  <c r="DO15" i="10"/>
  <c r="BC116" i="10"/>
  <c r="CS122" i="10"/>
  <c r="BE119" i="10"/>
  <c r="BE125" i="10" s="1"/>
  <c r="BE127" i="10" s="1"/>
  <c r="BE128" i="10" s="1"/>
  <c r="AC114" i="10"/>
  <c r="CQ88" i="10"/>
  <c r="DO88" i="10" s="1"/>
  <c r="CS114" i="10"/>
  <c r="G126" i="10"/>
  <c r="DM126" i="10" s="1"/>
  <c r="CS123" i="10"/>
  <c r="DN112" i="10"/>
  <c r="AB112" i="10"/>
  <c r="AX112" i="10" s="1"/>
  <c r="CT119" i="10"/>
  <c r="CQ100" i="10"/>
  <c r="DO100" i="10" s="1"/>
  <c r="AB101" i="10"/>
  <c r="AX101" i="10" s="1"/>
  <c r="DN101" i="10"/>
  <c r="CU126" i="10"/>
  <c r="CQ107" i="10"/>
  <c r="BL125" i="10"/>
  <c r="BL127" i="10" s="1"/>
  <c r="CO114" i="10"/>
  <c r="CU114" i="10"/>
  <c r="DK79" i="10"/>
  <c r="DK123" i="10"/>
  <c r="BO94" i="10"/>
  <c r="BO116" i="10" s="1"/>
  <c r="CQ87" i="10"/>
  <c r="DO87" i="10" s="1"/>
  <c r="DO82" i="10"/>
  <c r="BT82" i="10"/>
  <c r="CP82" i="10" s="1"/>
  <c r="BT101" i="10"/>
  <c r="CP101" i="10" s="1"/>
  <c r="DO101" i="10"/>
  <c r="BU103" i="10"/>
  <c r="CT126" i="10"/>
  <c r="AB45" i="10"/>
  <c r="AX45" i="10" s="1"/>
  <c r="CY116" i="10"/>
  <c r="DM118" i="10"/>
  <c r="BT104" i="10"/>
  <c r="CP104" i="10" s="1"/>
  <c r="CT122" i="10"/>
  <c r="AZ116" i="10"/>
  <c r="M128" i="10"/>
  <c r="BD116" i="10"/>
  <c r="DM46" i="10"/>
  <c r="BT46" i="10"/>
  <c r="CP46" i="10" s="1"/>
  <c r="BJ114" i="10"/>
  <c r="BJ116" i="10" s="1"/>
  <c r="BJ128" i="10" s="1"/>
  <c r="CQ99" i="10"/>
  <c r="DO99" i="10" s="1"/>
  <c r="DN69" i="10"/>
  <c r="AB69" i="10"/>
  <c r="AX69" i="10" s="1"/>
  <c r="CQ90" i="10"/>
  <c r="DO90" i="10" s="1"/>
  <c r="DO29" i="10"/>
  <c r="BT29" i="10"/>
  <c r="CP29" i="10" s="1"/>
  <c r="S128" i="10"/>
  <c r="AB11" i="10"/>
  <c r="AX11" i="10" s="1"/>
  <c r="DN11" i="10"/>
  <c r="DC121" i="10"/>
  <c r="BT18" i="10"/>
  <c r="CP18" i="10" s="1"/>
  <c r="DO18" i="10"/>
  <c r="BU102" i="10"/>
  <c r="CQ35" i="10"/>
  <c r="DO35" i="10" s="1"/>
  <c r="CS57" i="10"/>
  <c r="BT90" i="10"/>
  <c r="CP90" i="10" s="1"/>
  <c r="BT78" i="10"/>
  <c r="CP78" i="10" s="1"/>
  <c r="DO83" i="10"/>
  <c r="BT83" i="10"/>
  <c r="CP83" i="10" s="1"/>
  <c r="AB6" i="10"/>
  <c r="AX6" i="10" s="1"/>
  <c r="DM6" i="10"/>
  <c r="BT107" i="10"/>
  <c r="CP107" i="10" s="1"/>
  <c r="DO107" i="10"/>
  <c r="AY99" i="10"/>
  <c r="DN99" i="10" s="1"/>
  <c r="AZ118" i="10"/>
  <c r="AB90" i="10"/>
  <c r="AX90" i="10" s="1"/>
  <c r="DN61" i="10"/>
  <c r="AB61" i="10"/>
  <c r="AX61" i="10" s="1"/>
  <c r="BK123" i="10"/>
  <c r="DM105" i="10"/>
  <c r="AB105" i="10"/>
  <c r="AX105" i="10" s="1"/>
  <c r="DG94" i="10"/>
  <c r="DG116" i="10" s="1"/>
  <c r="DG128" i="10" s="1"/>
  <c r="DM77" i="10"/>
  <c r="AB77" i="10"/>
  <c r="AX77" i="10" s="1"/>
  <c r="BT45" i="10"/>
  <c r="CP45" i="10" s="1"/>
  <c r="CT24" i="10"/>
  <c r="BO125" i="10"/>
  <c r="BO127" i="10" s="1"/>
  <c r="BT112" i="10"/>
  <c r="CP112" i="10" s="1"/>
  <c r="DO112" i="10"/>
  <c r="AQ125" i="10"/>
  <c r="AQ127" i="10" s="1"/>
  <c r="BD125" i="10"/>
  <c r="BD127" i="10" s="1"/>
  <c r="BS126" i="10"/>
  <c r="BS114" i="10"/>
  <c r="DF94" i="10"/>
  <c r="DF114" i="10"/>
  <c r="DF116" i="10" s="1"/>
  <c r="DF128" i="10" s="1"/>
  <c r="DK89" i="10"/>
  <c r="CQ89" i="10" s="1"/>
  <c r="BU89" i="10"/>
  <c r="BU94" i="10" s="1"/>
  <c r="BM114" i="10"/>
  <c r="AB99" i="10"/>
  <c r="AX99" i="10" s="1"/>
  <c r="H128" i="10"/>
  <c r="BC120" i="10"/>
  <c r="G94" i="10"/>
  <c r="DM94" i="10" s="1"/>
  <c r="AY59" i="10"/>
  <c r="DN59" i="10" s="1"/>
  <c r="AT128" i="10"/>
  <c r="AQ116" i="10"/>
  <c r="AQ128" i="10" s="1"/>
  <c r="CS126" i="10"/>
  <c r="BT72" i="10"/>
  <c r="CP72" i="10" s="1"/>
  <c r="DO72" i="10"/>
  <c r="BN57" i="10"/>
  <c r="BN116" i="10" s="1"/>
  <c r="BN128" i="10" s="1"/>
  <c r="AY121" i="10"/>
  <c r="DN121" i="10" s="1"/>
  <c r="AY9" i="10"/>
  <c r="DN9" i="10" s="1"/>
  <c r="AY90" i="10"/>
  <c r="DN90" i="10" s="1"/>
  <c r="K128" i="10"/>
  <c r="DN10" i="10"/>
  <c r="AB10" i="10"/>
  <c r="AX10" i="10" s="1"/>
  <c r="AC79" i="10"/>
  <c r="DN58" i="10"/>
  <c r="AB58" i="10"/>
  <c r="AX58" i="10" s="1"/>
  <c r="DN63" i="10"/>
  <c r="AB63" i="10"/>
  <c r="AX63" i="10" s="1"/>
  <c r="DH116" i="10"/>
  <c r="DH128" i="10" s="1"/>
  <c r="I128" i="10"/>
  <c r="BV127" i="10"/>
  <c r="BV128" i="10" s="1"/>
  <c r="CI125" i="10"/>
  <c r="CI127" i="10" s="1"/>
  <c r="DK114" i="10"/>
  <c r="BT63" i="10"/>
  <c r="CP63" i="10" s="1"/>
  <c r="DO63" i="10"/>
  <c r="CS79" i="10"/>
  <c r="CX116" i="10"/>
  <c r="BT10" i="10"/>
  <c r="CP10" i="10" s="1"/>
  <c r="DO10" i="10"/>
  <c r="AB107" i="10"/>
  <c r="AX107" i="10" s="1"/>
  <c r="BT40" i="10"/>
  <c r="CP40" i="10" s="1"/>
  <c r="BT26" i="10"/>
  <c r="CP26" i="10" s="1"/>
  <c r="DO26" i="10"/>
  <c r="CR125" i="10"/>
  <c r="BY125" i="10"/>
  <c r="BY127" i="10" s="1"/>
  <c r="AC126" i="10"/>
  <c r="AD125" i="10"/>
  <c r="AD127" i="10" s="1"/>
  <c r="AD128" i="10" s="1"/>
  <c r="AC118" i="10"/>
  <c r="CR116" i="10"/>
  <c r="BS120" i="10"/>
  <c r="AB4" i="10"/>
  <c r="AX4" i="10" s="1"/>
  <c r="AC24" i="10"/>
  <c r="DN4" i="10"/>
  <c r="AB78" i="10"/>
  <c r="AX78" i="10" s="1"/>
  <c r="CV116" i="10"/>
  <c r="CV128" i="10" s="1"/>
  <c r="BT22" i="10"/>
  <c r="CP22" i="10" s="1"/>
  <c r="DO22" i="10"/>
  <c r="G122" i="10"/>
  <c r="DM122" i="10" s="1"/>
  <c r="AY102" i="10"/>
  <c r="DN102" i="10" s="1"/>
  <c r="AB40" i="10"/>
  <c r="AX40" i="10" s="1"/>
  <c r="DO14" i="10"/>
  <c r="BT14" i="10"/>
  <c r="CP14" i="10" s="1"/>
  <c r="AE128" i="10"/>
  <c r="DO91" i="10"/>
  <c r="BT91" i="10"/>
  <c r="CP91" i="10" s="1"/>
  <c r="DM76" i="10"/>
  <c r="BT76" i="10"/>
  <c r="CP76" i="10" s="1"/>
  <c r="AS127" i="10"/>
  <c r="AS128" i="10" s="1"/>
  <c r="DF119" i="10"/>
  <c r="DF125" i="10" s="1"/>
  <c r="DF127" i="10" s="1"/>
  <c r="BW125" i="10"/>
  <c r="BW127" i="10" s="1"/>
  <c r="BW128" i="10" s="1"/>
  <c r="BK79" i="10"/>
  <c r="BK116" i="10" s="1"/>
  <c r="BT87" i="10"/>
  <c r="CP87" i="10" s="1"/>
  <c r="AB85" i="10"/>
  <c r="AX85" i="10" s="1"/>
  <c r="DN85" i="10"/>
  <c r="DN67" i="10"/>
  <c r="AB67" i="10"/>
  <c r="AX67" i="10" s="1"/>
  <c r="AY106" i="10"/>
  <c r="DN106" i="10" s="1"/>
  <c r="BA119" i="10"/>
  <c r="AV128" i="10"/>
  <c r="AZ126" i="10"/>
  <c r="AY80" i="10"/>
  <c r="AZ94" i="10"/>
  <c r="DO36" i="10"/>
  <c r="BT36" i="10"/>
  <c r="CP36" i="10" s="1"/>
  <c r="AL128" i="10"/>
  <c r="DB114" i="10"/>
  <c r="DB116" i="10" s="1"/>
  <c r="BT68" i="10"/>
  <c r="CP68" i="10" s="1"/>
  <c r="DO68" i="10"/>
  <c r="CU55" i="10"/>
  <c r="AB18" i="10"/>
  <c r="AX18" i="10" s="1"/>
  <c r="CQ8" i="10"/>
  <c r="DO8" i="10" s="1"/>
  <c r="G120" i="10"/>
  <c r="DM120" i="10" s="1"/>
  <c r="AB8" i="10"/>
  <c r="AX8" i="10" s="1"/>
  <c r="DN8" i="10"/>
  <c r="BM122" i="10"/>
  <c r="BM125" i="10" s="1"/>
  <c r="BM127" i="10" s="1"/>
  <c r="BM24" i="10"/>
  <c r="CQ46" i="10"/>
  <c r="DO46" i="10" s="1"/>
  <c r="DO95" i="10"/>
  <c r="BY116" i="10"/>
  <c r="BY128" i="10" s="1"/>
  <c r="AB14" i="10"/>
  <c r="AX14" i="10" s="1"/>
  <c r="DN14" i="10"/>
  <c r="BT77" i="10"/>
  <c r="CP77" i="10" s="1"/>
  <c r="CO24" i="10"/>
  <c r="BS122" i="10"/>
  <c r="BS24" i="10"/>
  <c r="DN5" i="10"/>
  <c r="AB5" i="10"/>
  <c r="AX5" i="10" s="1"/>
  <c r="BA123" i="10"/>
  <c r="AY123" i="10" s="1"/>
  <c r="BA79" i="10"/>
  <c r="BA116" i="10" s="1"/>
  <c r="BA120" i="10"/>
  <c r="BT103" i="9"/>
  <c r="AB87" i="9"/>
  <c r="AX87" i="9" s="1"/>
  <c r="BT82" i="9"/>
  <c r="CG125" i="9"/>
  <c r="CG127" i="9" s="1"/>
  <c r="BT105" i="9"/>
  <c r="CW114" i="9"/>
  <c r="CW116" i="9" s="1"/>
  <c r="AB106" i="9"/>
  <c r="AX106" i="9" s="1"/>
  <c r="BM94" i="9"/>
  <c r="CT114" i="9"/>
  <c r="BT91" i="9"/>
  <c r="BT89" i="9"/>
  <c r="DD125" i="9"/>
  <c r="DD127" i="9" s="1"/>
  <c r="BT109" i="9"/>
  <c r="BT35" i="9"/>
  <c r="BA57" i="9"/>
  <c r="CO123" i="9"/>
  <c r="BU123" i="9" s="1"/>
  <c r="CO79" i="9"/>
  <c r="DE122" i="9"/>
  <c r="DE125" i="9" s="1"/>
  <c r="DE127" i="9" s="1"/>
  <c r="DE24" i="9"/>
  <c r="DC116" i="9"/>
  <c r="BA122" i="9"/>
  <c r="BA24" i="9"/>
  <c r="AY4" i="9"/>
  <c r="BN123" i="9"/>
  <c r="DK58" i="9"/>
  <c r="CQ58" i="9" s="1"/>
  <c r="AB83" i="9"/>
  <c r="AX83" i="9" s="1"/>
  <c r="BT83" i="9"/>
  <c r="AB34" i="9"/>
  <c r="AX34" i="9" s="1"/>
  <c r="AB25" i="9"/>
  <c r="AX25" i="9" s="1"/>
  <c r="AC57" i="9"/>
  <c r="DA116" i="9"/>
  <c r="AS127" i="9"/>
  <c r="AB103" i="9"/>
  <c r="AX103" i="9" s="1"/>
  <c r="BT99" i="9"/>
  <c r="AC126" i="9"/>
  <c r="CX114" i="9"/>
  <c r="CX116" i="9" s="1"/>
  <c r="CS126" i="9"/>
  <c r="BM126" i="9"/>
  <c r="AP127" i="9"/>
  <c r="BT100" i="9"/>
  <c r="CU118" i="9"/>
  <c r="CV114" i="9"/>
  <c r="CV116" i="9" s="1"/>
  <c r="BE125" i="9"/>
  <c r="BE127" i="9" s="1"/>
  <c r="CQ89" i="9"/>
  <c r="G114" i="9"/>
  <c r="BL114" i="9"/>
  <c r="BL116" i="9" s="1"/>
  <c r="BT113" i="9"/>
  <c r="BT61" i="9"/>
  <c r="BT41" i="9"/>
  <c r="BT25" i="9"/>
  <c r="BU57" i="9"/>
  <c r="BT13" i="9"/>
  <c r="CP13" i="9" s="1"/>
  <c r="DI116" i="9"/>
  <c r="BC120" i="9"/>
  <c r="CQ45" i="9"/>
  <c r="BA121" i="9"/>
  <c r="AB66" i="9"/>
  <c r="AX66" i="9" s="1"/>
  <c r="BG114" i="9"/>
  <c r="BT63" i="9"/>
  <c r="AB38" i="9"/>
  <c r="AX38" i="9" s="1"/>
  <c r="AB68" i="9"/>
  <c r="AX68" i="9" s="1"/>
  <c r="AB28" i="9"/>
  <c r="AX28" i="9" s="1"/>
  <c r="DF120" i="9"/>
  <c r="BT4" i="9"/>
  <c r="CP4" i="9" s="1"/>
  <c r="AB61" i="9"/>
  <c r="AX61" i="9" s="1"/>
  <c r="BR116" i="9"/>
  <c r="G120" i="9"/>
  <c r="AB120" i="9" s="1"/>
  <c r="AX120" i="9" s="1"/>
  <c r="DK57" i="9"/>
  <c r="BT81" i="9"/>
  <c r="CS122" i="9"/>
  <c r="CS24" i="9"/>
  <c r="CQ4" i="9"/>
  <c r="AB90" i="9"/>
  <c r="AX90" i="9" s="1"/>
  <c r="BT40" i="9"/>
  <c r="AB46" i="9"/>
  <c r="AX46" i="9" s="1"/>
  <c r="AB58" i="9"/>
  <c r="AX58" i="9" s="1"/>
  <c r="AC79" i="9"/>
  <c r="CS123" i="9"/>
  <c r="CS79" i="9"/>
  <c r="BE116" i="9"/>
  <c r="AB124" i="9"/>
  <c r="AX124" i="9" s="1"/>
  <c r="BF125" i="9"/>
  <c r="BF127" i="9" s="1"/>
  <c r="AB99" i="9"/>
  <c r="AX99" i="9" s="1"/>
  <c r="BT87" i="9"/>
  <c r="BT70" i="9"/>
  <c r="CO119" i="9"/>
  <c r="BU119" i="9" s="1"/>
  <c r="CO114" i="9"/>
  <c r="AB81" i="9"/>
  <c r="AX81" i="9" s="1"/>
  <c r="AB54" i="9"/>
  <c r="AX54" i="9" s="1"/>
  <c r="BU58" i="9"/>
  <c r="AZ126" i="9"/>
  <c r="AZ94" i="9"/>
  <c r="AZ116" i="9" s="1"/>
  <c r="AY80" i="9"/>
  <c r="AB7" i="9"/>
  <c r="AX7" i="9" s="1"/>
  <c r="BT8" i="9"/>
  <c r="CP8" i="9" s="1"/>
  <c r="AY29" i="9"/>
  <c r="DK24" i="9"/>
  <c r="BV127" i="9"/>
  <c r="BU101" i="9"/>
  <c r="DF126" i="9"/>
  <c r="AR125" i="9"/>
  <c r="AR127" i="9" s="1"/>
  <c r="DI124" i="9"/>
  <c r="CQ124" i="9" s="1"/>
  <c r="CQ107" i="9"/>
  <c r="CS119" i="9"/>
  <c r="AC114" i="9"/>
  <c r="AF118" i="9"/>
  <c r="AF125" i="9" s="1"/>
  <c r="AF127" i="9" s="1"/>
  <c r="BB99" i="9"/>
  <c r="AF114" i="9"/>
  <c r="AF116" i="9" s="1"/>
  <c r="AD125" i="9"/>
  <c r="AD127" i="9" s="1"/>
  <c r="AY61" i="9"/>
  <c r="BO94" i="9"/>
  <c r="BO116" i="9" s="1"/>
  <c r="AB82" i="9"/>
  <c r="AX82" i="9" s="1"/>
  <c r="AB65" i="9"/>
  <c r="AX65" i="9" s="1"/>
  <c r="DK103" i="9"/>
  <c r="CQ103" i="9" s="1"/>
  <c r="CZ114" i="9"/>
  <c r="CZ116" i="9" s="1"/>
  <c r="BY116" i="9"/>
  <c r="AB76" i="9"/>
  <c r="AX76" i="9" s="1"/>
  <c r="BS122" i="9"/>
  <c r="BS24" i="9"/>
  <c r="CS121" i="9"/>
  <c r="G57" i="9"/>
  <c r="AC24" i="9"/>
  <c r="AB4" i="9"/>
  <c r="AX4" i="9" s="1"/>
  <c r="BO125" i="9"/>
  <c r="AB55" i="9"/>
  <c r="AX55" i="9" s="1"/>
  <c r="BA123" i="9"/>
  <c r="BA79" i="9"/>
  <c r="AY58" i="9"/>
  <c r="AB100" i="9"/>
  <c r="AX100" i="9" s="1"/>
  <c r="CQ63" i="9"/>
  <c r="AB27" i="9"/>
  <c r="AX27" i="9" s="1"/>
  <c r="AW116" i="9"/>
  <c r="BY125" i="9"/>
  <c r="BY127" i="9" s="1"/>
  <c r="BT102" i="9"/>
  <c r="AB105" i="9"/>
  <c r="AX105" i="9" s="1"/>
  <c r="AB52" i="9"/>
  <c r="AX52" i="9" s="1"/>
  <c r="BC116" i="9"/>
  <c r="BG116" i="9"/>
  <c r="BA120" i="9"/>
  <c r="AY8" i="9"/>
  <c r="CQ27" i="9"/>
  <c r="AB102" i="9"/>
  <c r="AX102" i="9" s="1"/>
  <c r="BS119" i="9"/>
  <c r="BT77" i="9"/>
  <c r="CQ88" i="9"/>
  <c r="BT56" i="9"/>
  <c r="AB72" i="9"/>
  <c r="AX72" i="9" s="1"/>
  <c r="AB107" i="9"/>
  <c r="AX107" i="9" s="1"/>
  <c r="DJ125" i="9"/>
  <c r="DJ127" i="9" s="1"/>
  <c r="AB109" i="9"/>
  <c r="AX109" i="9" s="1"/>
  <c r="AQ125" i="9"/>
  <c r="AQ127" i="9" s="1"/>
  <c r="CU114" i="9"/>
  <c r="CZ125" i="9"/>
  <c r="CZ127" i="9" s="1"/>
  <c r="AY92" i="9"/>
  <c r="CQ100" i="9"/>
  <c r="DF114" i="9"/>
  <c r="BT88" i="9"/>
  <c r="AY108" i="9"/>
  <c r="AB8" i="9"/>
  <c r="AX8" i="9" s="1"/>
  <c r="CS120" i="9"/>
  <c r="CQ8" i="9"/>
  <c r="BN116" i="9"/>
  <c r="AB64" i="9"/>
  <c r="AX64" i="9" s="1"/>
  <c r="BS57" i="9"/>
  <c r="G121" i="9"/>
  <c r="AB67" i="9"/>
  <c r="AX67" i="9" s="1"/>
  <c r="G119" i="9"/>
  <c r="AB60" i="9"/>
  <c r="AX60" i="9" s="1"/>
  <c r="AY55" i="9"/>
  <c r="BI116" i="9"/>
  <c r="CW119" i="9"/>
  <c r="CW125" i="9" s="1"/>
  <c r="CW127" i="9" s="1"/>
  <c r="AC123" i="9"/>
  <c r="BS123" i="9"/>
  <c r="BS79" i="9"/>
  <c r="BN121" i="9"/>
  <c r="BT21" i="9"/>
  <c r="CP21" i="9" s="1"/>
  <c r="AB12" i="9"/>
  <c r="AX12" i="9" s="1"/>
  <c r="BT5" i="9"/>
  <c r="CP5" i="9" s="1"/>
  <c r="G94" i="9"/>
  <c r="AB31" i="9"/>
  <c r="AX31" i="9" s="1"/>
  <c r="AB9" i="9"/>
  <c r="AX9" i="9" s="1"/>
  <c r="BT106" i="9"/>
  <c r="BT85" i="9"/>
  <c r="BM122" i="9"/>
  <c r="BM24" i="9"/>
  <c r="AB36" i="9"/>
  <c r="AX36" i="9" s="1"/>
  <c r="DG116" i="9"/>
  <c r="CQ106" i="9"/>
  <c r="CQ61" i="9"/>
  <c r="AB29" i="9"/>
  <c r="AX29" i="9" s="1"/>
  <c r="CR126" i="9"/>
  <c r="CQ80" i="9"/>
  <c r="CR94" i="9"/>
  <c r="CR116" i="9" s="1"/>
  <c r="BT45" i="9"/>
  <c r="AY100" i="9"/>
  <c r="CR125" i="9"/>
  <c r="DF94" i="9"/>
  <c r="AG116" i="9"/>
  <c r="AY27" i="9"/>
  <c r="CY116" i="9"/>
  <c r="BT62" i="9"/>
  <c r="AC119" i="9"/>
  <c r="AE125" i="9"/>
  <c r="AE127" i="9" s="1"/>
  <c r="AB85" i="9"/>
  <c r="AX85" i="9" s="1"/>
  <c r="BU94" i="9"/>
  <c r="AB92" i="9"/>
  <c r="AX92" i="9" s="1"/>
  <c r="DD94" i="9"/>
  <c r="AB63" i="9"/>
  <c r="AX63" i="9" s="1"/>
  <c r="BT46" i="9"/>
  <c r="BT59" i="9"/>
  <c r="CP59" i="9" s="1"/>
  <c r="BT49" i="9"/>
  <c r="AA116" i="9"/>
  <c r="BT60" i="9"/>
  <c r="BW116" i="9"/>
  <c r="DD116" i="9"/>
  <c r="CT121" i="9"/>
  <c r="CT125" i="9" s="1"/>
  <c r="CT127" i="9" s="1"/>
  <c r="CT57" i="9"/>
  <c r="AB77" i="9"/>
  <c r="AX77" i="9" s="1"/>
  <c r="BB121" i="9"/>
  <c r="AY25" i="9"/>
  <c r="BB57" i="9"/>
  <c r="AB22" i="9"/>
  <c r="AX22" i="9" s="1"/>
  <c r="G123" i="9"/>
  <c r="G79" i="9"/>
  <c r="AB45" i="9"/>
  <c r="AX45" i="9" s="1"/>
  <c r="AB17" i="9"/>
  <c r="AX17" i="9" s="1"/>
  <c r="AB113" i="9"/>
  <c r="AX113" i="9" s="1"/>
  <c r="BT54" i="9"/>
  <c r="AB21" i="9"/>
  <c r="AX21" i="9" s="1"/>
  <c r="BT92" i="9"/>
  <c r="G126" i="9"/>
  <c r="AB6" i="9"/>
  <c r="AX6" i="9" s="1"/>
  <c r="BM79" i="9"/>
  <c r="G24" i="9"/>
  <c r="BT76" i="9"/>
  <c r="BB128" i="10" l="1"/>
  <c r="CP88" i="9"/>
  <c r="DQ88" i="9"/>
  <c r="CP70" i="9"/>
  <c r="DQ70" i="9"/>
  <c r="CP81" i="9"/>
  <c r="DQ81" i="9"/>
  <c r="DC125" i="10"/>
  <c r="DC127" i="10" s="1"/>
  <c r="DC128" i="10" s="1"/>
  <c r="CP38" i="9"/>
  <c r="DQ38" i="9"/>
  <c r="CP45" i="9"/>
  <c r="DQ45" i="9"/>
  <c r="CP46" i="9"/>
  <c r="DQ46" i="9"/>
  <c r="CP62" i="9"/>
  <c r="DQ62" i="9"/>
  <c r="CP40" i="9"/>
  <c r="DQ40" i="9"/>
  <c r="CP25" i="9"/>
  <c r="DQ25" i="9"/>
  <c r="CP99" i="9"/>
  <c r="DQ99" i="9"/>
  <c r="CP91" i="9"/>
  <c r="DQ91" i="9"/>
  <c r="CO125" i="10"/>
  <c r="CO127" i="10" s="1"/>
  <c r="BK125" i="10"/>
  <c r="BK127" i="10" s="1"/>
  <c r="BK128" i="10" s="1"/>
  <c r="CS116" i="10"/>
  <c r="CY128" i="10"/>
  <c r="CS125" i="10"/>
  <c r="CS127" i="10" s="1"/>
  <c r="CQ24" i="10"/>
  <c r="CP50" i="9"/>
  <c r="DQ50" i="9"/>
  <c r="CQ49" i="10"/>
  <c r="CP60" i="9"/>
  <c r="DQ60" i="9"/>
  <c r="DK126" i="10"/>
  <c r="CQ126" i="10" s="1"/>
  <c r="DO126" i="10" s="1"/>
  <c r="CP82" i="9"/>
  <c r="DQ82" i="9"/>
  <c r="CP41" i="9"/>
  <c r="DQ41" i="9"/>
  <c r="CU125" i="9"/>
  <c r="CP103" i="9"/>
  <c r="DQ103" i="9"/>
  <c r="AY120" i="10"/>
  <c r="DN120" i="10" s="1"/>
  <c r="DK94" i="10"/>
  <c r="CP98" i="9"/>
  <c r="DQ98" i="9"/>
  <c r="DC125" i="9"/>
  <c r="DC127" i="9" s="1"/>
  <c r="DO49" i="10"/>
  <c r="BT49" i="10"/>
  <c r="CP49" i="10" s="1"/>
  <c r="CP109" i="9"/>
  <c r="DQ109" i="9"/>
  <c r="BC125" i="10"/>
  <c r="BC127" i="10" s="1"/>
  <c r="BC128" i="10" s="1"/>
  <c r="CP56" i="9"/>
  <c r="DQ56" i="9"/>
  <c r="CP63" i="9"/>
  <c r="DQ63" i="9"/>
  <c r="CP83" i="9"/>
  <c r="DQ83" i="9"/>
  <c r="CP89" i="9"/>
  <c r="DQ89" i="9"/>
  <c r="CU116" i="9"/>
  <c r="CP77" i="9"/>
  <c r="DQ77" i="9"/>
  <c r="CP61" i="9"/>
  <c r="DQ61" i="9"/>
  <c r="CP100" i="9"/>
  <c r="DQ100" i="9"/>
  <c r="CO116" i="10"/>
  <c r="CO128" i="10" s="1"/>
  <c r="CQ123" i="10"/>
  <c r="DO123" i="10" s="1"/>
  <c r="DK24" i="10"/>
  <c r="CP35" i="9"/>
  <c r="DQ35" i="9"/>
  <c r="CP54" i="9"/>
  <c r="DQ54" i="9"/>
  <c r="CP105" i="9"/>
  <c r="DQ105" i="9"/>
  <c r="CP76" i="9"/>
  <c r="DQ76" i="9"/>
  <c r="CP49" i="9"/>
  <c r="DQ49" i="9"/>
  <c r="CP87" i="9"/>
  <c r="DQ87" i="9"/>
  <c r="CQ119" i="10"/>
  <c r="DO119" i="10" s="1"/>
  <c r="CP85" i="9"/>
  <c r="DQ85" i="9"/>
  <c r="CP92" i="9"/>
  <c r="DQ92" i="9"/>
  <c r="CP106" i="9"/>
  <c r="DQ106" i="9"/>
  <c r="CP102" i="9"/>
  <c r="DQ102" i="9"/>
  <c r="CP113" i="9"/>
  <c r="DQ113" i="9"/>
  <c r="DB128" i="10"/>
  <c r="AY79" i="10"/>
  <c r="BO128" i="10"/>
  <c r="CP55" i="9"/>
  <c r="DQ55" i="9"/>
  <c r="DE116" i="9"/>
  <c r="BT118" i="9"/>
  <c r="AZ127" i="9"/>
  <c r="AB94" i="9"/>
  <c r="AX94" i="9" s="1"/>
  <c r="AY120" i="9"/>
  <c r="CO116" i="9"/>
  <c r="BT121" i="9"/>
  <c r="DF116" i="9"/>
  <c r="CU127" i="9"/>
  <c r="BT122" i="9"/>
  <c r="BC125" i="9"/>
  <c r="BC127" i="9" s="1"/>
  <c r="AB122" i="9"/>
  <c r="AX122" i="9" s="1"/>
  <c r="BN125" i="9"/>
  <c r="BN127" i="9" s="1"/>
  <c r="AB121" i="9"/>
  <c r="AX121" i="9" s="1"/>
  <c r="BS116" i="9"/>
  <c r="AY119" i="9"/>
  <c r="BU24" i="9"/>
  <c r="CQ120" i="9"/>
  <c r="AY121" i="9"/>
  <c r="BO127" i="9"/>
  <c r="CT116" i="9"/>
  <c r="AY123" i="9"/>
  <c r="CQ126" i="9"/>
  <c r="BM125" i="9"/>
  <c r="BM127" i="9" s="1"/>
  <c r="CQ121" i="9"/>
  <c r="DF125" i="9"/>
  <c r="DF127" i="9" s="1"/>
  <c r="CQ118" i="9"/>
  <c r="AY24" i="9"/>
  <c r="AY57" i="9"/>
  <c r="CQ114" i="9"/>
  <c r="CQ122" i="9"/>
  <c r="DO120" i="10"/>
  <c r="BT120" i="10"/>
  <c r="CP120" i="10" s="1"/>
  <c r="CQ121" i="10"/>
  <c r="DO121" i="10" s="1"/>
  <c r="BT94" i="10"/>
  <c r="CP94" i="10" s="1"/>
  <c r="BT119" i="10"/>
  <c r="CP119" i="10" s="1"/>
  <c r="DO9" i="10"/>
  <c r="BT9" i="10"/>
  <c r="CP9" i="10" s="1"/>
  <c r="BT55" i="10"/>
  <c r="CP55" i="10" s="1"/>
  <c r="BT79" i="10"/>
  <c r="CP79" i="10" s="1"/>
  <c r="AB79" i="10"/>
  <c r="AX79" i="10" s="1"/>
  <c r="DN79" i="10"/>
  <c r="BT124" i="10"/>
  <c r="CP124" i="10" s="1"/>
  <c r="BM116" i="10"/>
  <c r="BM128" i="10" s="1"/>
  <c r="AY114" i="10"/>
  <c r="DN114" i="10" s="1"/>
  <c r="AY94" i="10"/>
  <c r="DN94" i="10" s="1"/>
  <c r="DN80" i="10"/>
  <c r="AC116" i="10"/>
  <c r="AB24" i="10"/>
  <c r="AX24" i="10" s="1"/>
  <c r="CR127" i="10"/>
  <c r="CR128" i="10" s="1"/>
  <c r="AZ125" i="10"/>
  <c r="AZ127" i="10" s="1"/>
  <c r="AZ128" i="10" s="1"/>
  <c r="AY118" i="10"/>
  <c r="DN118" i="10" s="1"/>
  <c r="DO102" i="10"/>
  <c r="BT102" i="10"/>
  <c r="CP102" i="10" s="1"/>
  <c r="BD128" i="10"/>
  <c r="AB114" i="10"/>
  <c r="AX114" i="10" s="1"/>
  <c r="AB123" i="10"/>
  <c r="AX123" i="10" s="1"/>
  <c r="DN123" i="10"/>
  <c r="CQ94" i="10"/>
  <c r="DO94" i="10" s="1"/>
  <c r="DO80" i="10"/>
  <c r="CQ118" i="10"/>
  <c r="AY126" i="10"/>
  <c r="CX128" i="10"/>
  <c r="BU114" i="10"/>
  <c r="CT116" i="10"/>
  <c r="AY57" i="10"/>
  <c r="DN57" i="10" s="1"/>
  <c r="DN28" i="10"/>
  <c r="AY24" i="10"/>
  <c r="AB124" i="10"/>
  <c r="AX124" i="10" s="1"/>
  <c r="CQ79" i="10"/>
  <c r="DO79" i="10" s="1"/>
  <c r="AB57" i="10"/>
  <c r="AX57" i="10" s="1"/>
  <c r="BT122" i="10"/>
  <c r="CP122" i="10" s="1"/>
  <c r="CT125" i="10"/>
  <c r="CT127" i="10" s="1"/>
  <c r="BT103" i="10"/>
  <c r="CP103" i="10" s="1"/>
  <c r="DO103" i="10"/>
  <c r="BL128" i="10"/>
  <c r="BU57" i="10"/>
  <c r="CQ122" i="10"/>
  <c r="DO122" i="10" s="1"/>
  <c r="AB119" i="10"/>
  <c r="AX119" i="10" s="1"/>
  <c r="AY122" i="10"/>
  <c r="DN122" i="10" s="1"/>
  <c r="BT123" i="10"/>
  <c r="CP123" i="10" s="1"/>
  <c r="BS125" i="10"/>
  <c r="BS127" i="10" s="1"/>
  <c r="BA125" i="10"/>
  <c r="BA127" i="10" s="1"/>
  <c r="BA128" i="10" s="1"/>
  <c r="AC125" i="10"/>
  <c r="AB118" i="10"/>
  <c r="AX118" i="10" s="1"/>
  <c r="BS116" i="10"/>
  <c r="CQ114" i="10"/>
  <c r="AB126" i="10"/>
  <c r="AX126" i="10" s="1"/>
  <c r="DN126" i="10"/>
  <c r="BT126" i="10"/>
  <c r="CP126" i="10" s="1"/>
  <c r="BU24" i="10"/>
  <c r="DE128" i="10"/>
  <c r="DO89" i="10"/>
  <c r="BT89" i="10"/>
  <c r="CP89" i="10" s="1"/>
  <c r="CU121" i="10"/>
  <c r="CU125" i="10" s="1"/>
  <c r="CU127" i="10" s="1"/>
  <c r="CU57" i="10"/>
  <c r="CU116" i="10" s="1"/>
  <c r="CQ55" i="10"/>
  <c r="CQ57" i="10" s="1"/>
  <c r="CQ116" i="10" s="1"/>
  <c r="G125" i="10"/>
  <c r="AY119" i="10"/>
  <c r="DN119" i="10" s="1"/>
  <c r="CI128" i="10"/>
  <c r="BT121" i="10"/>
  <c r="CP121" i="10" s="1"/>
  <c r="DO118" i="10"/>
  <c r="BT118" i="10"/>
  <c r="CP118" i="10" s="1"/>
  <c r="AB122" i="10"/>
  <c r="AX122" i="10" s="1"/>
  <c r="G116" i="10"/>
  <c r="AB120" i="10"/>
  <c r="AX120" i="10" s="1"/>
  <c r="BT126" i="9"/>
  <c r="BT101" i="9"/>
  <c r="BU114" i="9"/>
  <c r="CS116" i="9"/>
  <c r="CQ79" i="9"/>
  <c r="AB114" i="9"/>
  <c r="AX114" i="9" s="1"/>
  <c r="AB126" i="9"/>
  <c r="AX126" i="9" s="1"/>
  <c r="AB57" i="9"/>
  <c r="AX57" i="9" s="1"/>
  <c r="DK123" i="9"/>
  <c r="CQ123" i="9" s="1"/>
  <c r="DK79" i="9"/>
  <c r="DK116" i="9" s="1"/>
  <c r="BT123" i="9"/>
  <c r="CS125" i="9"/>
  <c r="CS127" i="9" s="1"/>
  <c r="AY94" i="9"/>
  <c r="BT57" i="9"/>
  <c r="BT94" i="9"/>
  <c r="AB79" i="9"/>
  <c r="AX79" i="9" s="1"/>
  <c r="AB119" i="9"/>
  <c r="AX119" i="9" s="1"/>
  <c r="CR127" i="9"/>
  <c r="BS125" i="9"/>
  <c r="BS127" i="9" s="1"/>
  <c r="BA125" i="9"/>
  <c r="BA127" i="9" s="1"/>
  <c r="BT120" i="9"/>
  <c r="AC116" i="9"/>
  <c r="AB24" i="9"/>
  <c r="AX24" i="9" s="1"/>
  <c r="AY99" i="9"/>
  <c r="BB118" i="9"/>
  <c r="BB114" i="9"/>
  <c r="BB116" i="9" s="1"/>
  <c r="CQ24" i="9"/>
  <c r="DI125" i="9"/>
  <c r="DI127" i="9" s="1"/>
  <c r="CQ94" i="9"/>
  <c r="AC118" i="9"/>
  <c r="AY126" i="9"/>
  <c r="BA116" i="9"/>
  <c r="G116" i="9"/>
  <c r="G125" i="9"/>
  <c r="AY122" i="9"/>
  <c r="BU79" i="9"/>
  <c r="BT58" i="9"/>
  <c r="CO125" i="9"/>
  <c r="DK114" i="9"/>
  <c r="BM116" i="9"/>
  <c r="AB123" i="9"/>
  <c r="AX123" i="9" s="1"/>
  <c r="CQ57" i="9"/>
  <c r="AY79" i="9"/>
  <c r="BT119" i="9"/>
  <c r="BT24" i="9"/>
  <c r="DK119" i="9"/>
  <c r="CP122" i="9" l="1"/>
  <c r="DQ124" i="9"/>
  <c r="CP58" i="9"/>
  <c r="DQ58" i="9"/>
  <c r="DK116" i="10"/>
  <c r="CP94" i="9"/>
  <c r="DQ94" i="9"/>
  <c r="BU125" i="10"/>
  <c r="BT125" i="10" s="1"/>
  <c r="CP125" i="10" s="1"/>
  <c r="DO55" i="10"/>
  <c r="CP118" i="9"/>
  <c r="DQ120" i="9"/>
  <c r="CP119" i="9"/>
  <c r="DQ121" i="9"/>
  <c r="CS128" i="10"/>
  <c r="CP121" i="9"/>
  <c r="DQ123" i="9"/>
  <c r="BU116" i="9"/>
  <c r="CP123" i="9"/>
  <c r="DQ125" i="9"/>
  <c r="CP101" i="9"/>
  <c r="DQ101" i="9"/>
  <c r="DK127" i="10"/>
  <c r="CP57" i="9"/>
  <c r="DQ57" i="9"/>
  <c r="CP24" i="9"/>
  <c r="DQ24" i="9"/>
  <c r="CP120" i="9"/>
  <c r="DQ122" i="9"/>
  <c r="CP126" i="9"/>
  <c r="DQ127" i="9"/>
  <c r="BS128" i="10"/>
  <c r="DK125" i="9"/>
  <c r="DK127" i="9" s="1"/>
  <c r="CQ119" i="9"/>
  <c r="CQ125" i="9" s="1"/>
  <c r="CQ127" i="9" s="1"/>
  <c r="AY116" i="10"/>
  <c r="AY128" i="10" s="1"/>
  <c r="AY125" i="10"/>
  <c r="AY127" i="10" s="1"/>
  <c r="CT128" i="10"/>
  <c r="DO114" i="10"/>
  <c r="BT114" i="10"/>
  <c r="CP114" i="10" s="1"/>
  <c r="BU116" i="10"/>
  <c r="BT24" i="10"/>
  <c r="CP24" i="10" s="1"/>
  <c r="DO24" i="10"/>
  <c r="AB125" i="10"/>
  <c r="AX125" i="10" s="1"/>
  <c r="AC127" i="10"/>
  <c r="G128" i="10"/>
  <c r="DM116" i="10"/>
  <c r="DM125" i="10"/>
  <c r="G127" i="10"/>
  <c r="DM127" i="10" s="1"/>
  <c r="DN24" i="10"/>
  <c r="CU128" i="10"/>
  <c r="DO57" i="10"/>
  <c r="BT57" i="10"/>
  <c r="CP57" i="10" s="1"/>
  <c r="AC128" i="10"/>
  <c r="AB116" i="10"/>
  <c r="AX116" i="10" s="1"/>
  <c r="DN116" i="10"/>
  <c r="CQ125" i="10"/>
  <c r="CQ127" i="10" s="1"/>
  <c r="CQ128" i="10" s="1"/>
  <c r="AY114" i="9"/>
  <c r="CO127" i="9"/>
  <c r="BU125" i="9"/>
  <c r="G127" i="9"/>
  <c r="BB125" i="9"/>
  <c r="BB127" i="9" s="1"/>
  <c r="AY118" i="9"/>
  <c r="AY125" i="9" s="1"/>
  <c r="AY127" i="9" s="1"/>
  <c r="AC125" i="9"/>
  <c r="AB118" i="9"/>
  <c r="AX118" i="9" s="1"/>
  <c r="CQ116" i="9"/>
  <c r="AB116" i="9"/>
  <c r="AX116" i="9" s="1"/>
  <c r="AY116" i="9"/>
  <c r="BT79" i="9"/>
  <c r="BT116" i="9"/>
  <c r="BT114" i="9"/>
  <c r="DK128" i="10" l="1"/>
  <c r="DN125" i="10"/>
  <c r="CP114" i="9"/>
  <c r="DQ114" i="9"/>
  <c r="CP116" i="9"/>
  <c r="DQ116" i="9"/>
  <c r="BU127" i="10"/>
  <c r="CP79" i="9"/>
  <c r="DQ79" i="9"/>
  <c r="DO125" i="10"/>
  <c r="DO116" i="10"/>
  <c r="BT116" i="10"/>
  <c r="CP116" i="10" s="1"/>
  <c r="BU128" i="10"/>
  <c r="BU131" i="10"/>
  <c r="BT127" i="10"/>
  <c r="CP127" i="10" s="1"/>
  <c r="DO127" i="10"/>
  <c r="AC131" i="10"/>
  <c r="AB127" i="10"/>
  <c r="AX127" i="10" s="1"/>
  <c r="DN127" i="10"/>
  <c r="AB125" i="9"/>
  <c r="AX125" i="9" s="1"/>
  <c r="AC127" i="9"/>
  <c r="BU127" i="9"/>
  <c r="BT125" i="9"/>
  <c r="CP125" i="9" s="1"/>
  <c r="AB127" i="9" l="1"/>
  <c r="AX127" i="9" s="1"/>
  <c r="BT127" i="9"/>
  <c r="CP127" i="9" l="1"/>
  <c r="DQ129" i="9"/>
  <c r="CN126" i="4"/>
  <c r="CM126" i="4"/>
  <c r="CL126" i="4"/>
  <c r="CG126" i="4"/>
  <c r="CF126" i="4"/>
  <c r="CE126" i="4"/>
  <c r="CD126" i="4"/>
  <c r="CB126" i="4"/>
  <c r="CA126" i="4"/>
  <c r="BZ126" i="4"/>
  <c r="AV126" i="4"/>
  <c r="AU126" i="4"/>
  <c r="AT126" i="4"/>
  <c r="AO126" i="4"/>
  <c r="AN126" i="4"/>
  <c r="AM126" i="4"/>
  <c r="AL126" i="4"/>
  <c r="AK126" i="4"/>
  <c r="AJ126" i="4"/>
  <c r="AI126" i="4"/>
  <c r="AH126" i="4"/>
  <c r="Z126" i="4"/>
  <c r="Y126" i="4"/>
  <c r="W126" i="4"/>
  <c r="V126" i="4"/>
  <c r="U126" i="4"/>
  <c r="T126" i="4"/>
  <c r="S126" i="4"/>
  <c r="R126" i="4"/>
  <c r="Q126" i="4"/>
  <c r="P126" i="4"/>
  <c r="O126" i="4"/>
  <c r="N126" i="4"/>
  <c r="M126" i="4"/>
  <c r="L126" i="4"/>
  <c r="K126" i="4"/>
  <c r="J126" i="4"/>
  <c r="I126" i="4"/>
  <c r="M125" i="4"/>
  <c r="M127" i="4" s="1"/>
  <c r="CO124" i="4"/>
  <c r="CN124" i="4"/>
  <c r="CL124" i="4"/>
  <c r="CI124" i="4"/>
  <c r="CH124" i="4"/>
  <c r="CB124" i="4"/>
  <c r="CA124" i="4"/>
  <c r="BZ124" i="4"/>
  <c r="BY124" i="4"/>
  <c r="BX124" i="4"/>
  <c r="BW124" i="4"/>
  <c r="BV124" i="4"/>
  <c r="AW124" i="4"/>
  <c r="AT124" i="4"/>
  <c r="AS124" i="4"/>
  <c r="AR124" i="4"/>
  <c r="AP124" i="4"/>
  <c r="AO124" i="4"/>
  <c r="AN124" i="4"/>
  <c r="AM124" i="4"/>
  <c r="AL124" i="4"/>
  <c r="AK124" i="4"/>
  <c r="AJ124" i="4"/>
  <c r="AI124" i="4"/>
  <c r="AH124" i="4"/>
  <c r="AG124" i="4"/>
  <c r="AF124" i="4"/>
  <c r="AE124" i="4"/>
  <c r="AD124" i="4"/>
  <c r="AA124" i="4"/>
  <c r="Z124" i="4"/>
  <c r="U124" i="4"/>
  <c r="N124" i="4"/>
  <c r="K124" i="4"/>
  <c r="CN123" i="4"/>
  <c r="CM123" i="4"/>
  <c r="CL123" i="4"/>
  <c r="CK123" i="4"/>
  <c r="CH123" i="4"/>
  <c r="CF123" i="4"/>
  <c r="CE123" i="4"/>
  <c r="CD123" i="4"/>
  <c r="CB123" i="4"/>
  <c r="CA123" i="4"/>
  <c r="BZ123" i="4"/>
  <c r="BY123" i="4"/>
  <c r="BX123" i="4"/>
  <c r="BV123" i="4"/>
  <c r="AV123" i="4"/>
  <c r="AU123" i="4"/>
  <c r="AT123" i="4"/>
  <c r="AS123" i="4"/>
  <c r="AP123" i="4"/>
  <c r="AN123" i="4"/>
  <c r="AM123" i="4"/>
  <c r="AL123" i="4"/>
  <c r="AK123" i="4"/>
  <c r="AJ123" i="4"/>
  <c r="AI123" i="4"/>
  <c r="AH123" i="4"/>
  <c r="AG123" i="4"/>
  <c r="AF123" i="4"/>
  <c r="AD123" i="4"/>
  <c r="Z123" i="4"/>
  <c r="Y123" i="4"/>
  <c r="W123" i="4"/>
  <c r="U123" i="4"/>
  <c r="T123" i="4"/>
  <c r="R123" i="4"/>
  <c r="Q123" i="4"/>
  <c r="P123" i="4"/>
  <c r="O123" i="4"/>
  <c r="N123" i="4"/>
  <c r="M123" i="4"/>
  <c r="L123" i="4"/>
  <c r="K123" i="4"/>
  <c r="J123" i="4"/>
  <c r="H123" i="4"/>
  <c r="CN122" i="4"/>
  <c r="CM122" i="4"/>
  <c r="CL122" i="4"/>
  <c r="CK122" i="4"/>
  <c r="CH122" i="4"/>
  <c r="CG122" i="4"/>
  <c r="CF122" i="4"/>
  <c r="CE122" i="4"/>
  <c r="CD122" i="4"/>
  <c r="CB122" i="4"/>
  <c r="CA122" i="4"/>
  <c r="BZ122" i="4"/>
  <c r="BV122" i="4"/>
  <c r="AV122" i="4"/>
  <c r="AU122" i="4"/>
  <c r="AT122" i="4"/>
  <c r="AS122" i="4"/>
  <c r="AP122" i="4"/>
  <c r="AO122" i="4"/>
  <c r="AN122" i="4"/>
  <c r="AM122" i="4"/>
  <c r="AL122" i="4"/>
  <c r="AK122" i="4"/>
  <c r="AJ122" i="4"/>
  <c r="AI122" i="4"/>
  <c r="AH122" i="4"/>
  <c r="AD122" i="4"/>
  <c r="Z122" i="4"/>
  <c r="Y122" i="4"/>
  <c r="W122" i="4"/>
  <c r="V122" i="4"/>
  <c r="U122" i="4"/>
  <c r="T122" i="4"/>
  <c r="S122" i="4"/>
  <c r="R122" i="4"/>
  <c r="Q122" i="4"/>
  <c r="P122" i="4"/>
  <c r="O122" i="4"/>
  <c r="N122" i="4"/>
  <c r="M122" i="4"/>
  <c r="L122" i="4"/>
  <c r="K122" i="4"/>
  <c r="J122" i="4"/>
  <c r="H122" i="4"/>
  <c r="CN121" i="4"/>
  <c r="CM121" i="4"/>
  <c r="CK121" i="4"/>
  <c r="CI121" i="4"/>
  <c r="CH121" i="4"/>
  <c r="CF121" i="4"/>
  <c r="CE121" i="4"/>
  <c r="CD121" i="4"/>
  <c r="CB121" i="4"/>
  <c r="CA121" i="4"/>
  <c r="BZ121" i="4"/>
  <c r="BV121" i="4"/>
  <c r="AV121" i="4"/>
  <c r="AU121" i="4"/>
  <c r="AS121" i="4"/>
  <c r="AQ121" i="4"/>
  <c r="AP121" i="4"/>
  <c r="AN121" i="4"/>
  <c r="AM121" i="4"/>
  <c r="AL121" i="4"/>
  <c r="AK121" i="4"/>
  <c r="AJ121" i="4"/>
  <c r="AI121" i="4"/>
  <c r="AH121" i="4"/>
  <c r="AD121" i="4"/>
  <c r="Z121" i="4"/>
  <c r="Y121" i="4"/>
  <c r="W121" i="4"/>
  <c r="U121" i="4"/>
  <c r="T121" i="4"/>
  <c r="R121" i="4"/>
  <c r="Q121" i="4"/>
  <c r="P121" i="4"/>
  <c r="O121" i="4"/>
  <c r="N121" i="4"/>
  <c r="M121" i="4"/>
  <c r="L121" i="4"/>
  <c r="J121" i="4"/>
  <c r="H121" i="4"/>
  <c r="CN120" i="4"/>
  <c r="CM120" i="4"/>
  <c r="CL120" i="4"/>
  <c r="CK120" i="4"/>
  <c r="CI120" i="4"/>
  <c r="CH120" i="4"/>
  <c r="CG120" i="4"/>
  <c r="CF120" i="4"/>
  <c r="CE120" i="4"/>
  <c r="CD120" i="4"/>
  <c r="CB120" i="4"/>
  <c r="CA120" i="4"/>
  <c r="BZ120" i="4"/>
  <c r="BX120" i="4"/>
  <c r="BV120" i="4"/>
  <c r="AV120" i="4"/>
  <c r="AU120" i="4"/>
  <c r="AT120" i="4"/>
  <c r="AS120" i="4"/>
  <c r="AQ120" i="4"/>
  <c r="AP120" i="4"/>
  <c r="AO120" i="4"/>
  <c r="AN120" i="4"/>
  <c r="AM120" i="4"/>
  <c r="AL120" i="4"/>
  <c r="AK120" i="4"/>
  <c r="AJ120" i="4"/>
  <c r="AI120" i="4"/>
  <c r="AH120" i="4"/>
  <c r="AF120" i="4"/>
  <c r="AD120" i="4"/>
  <c r="Z120" i="4"/>
  <c r="Y120" i="4"/>
  <c r="W120" i="4"/>
  <c r="V120" i="4"/>
  <c r="U120" i="4"/>
  <c r="T120" i="4"/>
  <c r="S120" i="4"/>
  <c r="R120" i="4"/>
  <c r="Q120" i="4"/>
  <c r="P120" i="4"/>
  <c r="O120" i="4"/>
  <c r="N120" i="4"/>
  <c r="M120" i="4"/>
  <c r="L120" i="4"/>
  <c r="K120" i="4"/>
  <c r="J120" i="4"/>
  <c r="H120" i="4"/>
  <c r="CN119" i="4"/>
  <c r="CM119" i="4"/>
  <c r="CL119" i="4"/>
  <c r="CK119" i="4"/>
  <c r="CI119" i="4"/>
  <c r="CG119" i="4"/>
  <c r="CE119" i="4"/>
  <c r="CD119" i="4"/>
  <c r="CB119" i="4"/>
  <c r="BV119" i="4"/>
  <c r="AV119" i="4"/>
  <c r="AU119" i="4"/>
  <c r="AT119" i="4"/>
  <c r="AS119" i="4"/>
  <c r="AO119" i="4"/>
  <c r="AM119" i="4"/>
  <c r="AL119" i="4"/>
  <c r="AK119" i="4"/>
  <c r="AJ119" i="4"/>
  <c r="AG119" i="4"/>
  <c r="AD119" i="4"/>
  <c r="Z119" i="4"/>
  <c r="Y119" i="4"/>
  <c r="W119" i="4"/>
  <c r="U119" i="4"/>
  <c r="T119" i="4"/>
  <c r="S119" i="4"/>
  <c r="R119" i="4"/>
  <c r="Q119" i="4"/>
  <c r="P119" i="4"/>
  <c r="O119" i="4"/>
  <c r="N119" i="4"/>
  <c r="M119" i="4"/>
  <c r="L119" i="4"/>
  <c r="K119" i="4"/>
  <c r="I119" i="4"/>
  <c r="H119" i="4"/>
  <c r="DI118" i="4"/>
  <c r="DA118" i="4"/>
  <c r="CS118" i="4"/>
  <c r="CN118" i="4"/>
  <c r="CM118" i="4"/>
  <c r="CL118" i="4"/>
  <c r="CK118" i="4"/>
  <c r="CG118" i="4"/>
  <c r="CF118" i="4"/>
  <c r="CE118" i="4"/>
  <c r="CA118" i="4"/>
  <c r="BZ118" i="4"/>
  <c r="BW118" i="4"/>
  <c r="BV118" i="4"/>
  <c r="AV118" i="4"/>
  <c r="AU118" i="4"/>
  <c r="AT118" i="4"/>
  <c r="AS118" i="4"/>
  <c r="AO118" i="4"/>
  <c r="AN118" i="4"/>
  <c r="AM118" i="4"/>
  <c r="AI118" i="4"/>
  <c r="AH118" i="4"/>
  <c r="AE118" i="4"/>
  <c r="Z118" i="4"/>
  <c r="Z125" i="4" s="1"/>
  <c r="Z127" i="4" s="1"/>
  <c r="Y118" i="4"/>
  <c r="W118" i="4"/>
  <c r="W125" i="4" s="1"/>
  <c r="W127" i="4" s="1"/>
  <c r="T118" i="4"/>
  <c r="T125" i="4" s="1"/>
  <c r="T127" i="4" s="1"/>
  <c r="S118" i="4"/>
  <c r="R118" i="4"/>
  <c r="Q118" i="4"/>
  <c r="Q125" i="4" s="1"/>
  <c r="Q127" i="4" s="1"/>
  <c r="P118" i="4"/>
  <c r="O118" i="4"/>
  <c r="N118" i="4"/>
  <c r="M118" i="4"/>
  <c r="L118" i="4"/>
  <c r="L125" i="4" s="1"/>
  <c r="L127" i="4" s="1"/>
  <c r="K118" i="4"/>
  <c r="J118" i="4"/>
  <c r="I118" i="4"/>
  <c r="H118" i="4"/>
  <c r="CK114" i="4"/>
  <c r="CG114" i="4"/>
  <c r="CE114" i="4"/>
  <c r="BV114" i="4"/>
  <c r="AT114" i="4"/>
  <c r="AS114" i="4"/>
  <c r="AO114" i="4"/>
  <c r="AM114" i="4"/>
  <c r="Z114" i="4"/>
  <c r="X114" i="4"/>
  <c r="W114" i="4"/>
  <c r="T114" i="4"/>
  <c r="S114" i="4"/>
  <c r="R114" i="4"/>
  <c r="Q114" i="4"/>
  <c r="P114" i="4"/>
  <c r="O114" i="4"/>
  <c r="N114" i="4"/>
  <c r="M114" i="4"/>
  <c r="L114" i="4"/>
  <c r="K114" i="4"/>
  <c r="I114" i="4"/>
  <c r="H114" i="4"/>
  <c r="DJ113" i="4"/>
  <c r="DI113" i="4"/>
  <c r="DH113" i="4"/>
  <c r="DG113" i="4"/>
  <c r="DE113" i="4"/>
  <c r="DD113" i="4"/>
  <c r="DC113" i="4"/>
  <c r="DB113" i="4"/>
  <c r="DA113" i="4"/>
  <c r="CZ113" i="4"/>
  <c r="CY113" i="4"/>
  <c r="CX113" i="4"/>
  <c r="CW113" i="4"/>
  <c r="CV113" i="4"/>
  <c r="CU113" i="4"/>
  <c r="CT113" i="4"/>
  <c r="CS113" i="4"/>
  <c r="CR113" i="4"/>
  <c r="CO113" i="4"/>
  <c r="CJ113" i="4" s="1"/>
  <c r="BR113" i="4"/>
  <c r="BQ113" i="4"/>
  <c r="BP113" i="4"/>
  <c r="BO113" i="4"/>
  <c r="BM113" i="4"/>
  <c r="BL113" i="4"/>
  <c r="BK113" i="4"/>
  <c r="BJ113" i="4"/>
  <c r="BI113" i="4"/>
  <c r="BH113" i="4"/>
  <c r="BG113" i="4"/>
  <c r="BF113" i="4"/>
  <c r="BE113" i="4"/>
  <c r="BD113" i="4"/>
  <c r="BC113" i="4"/>
  <c r="BB113" i="4"/>
  <c r="BA113" i="4"/>
  <c r="AZ113" i="4"/>
  <c r="AW113" i="4"/>
  <c r="AR113" i="4"/>
  <c r="AA113" i="4"/>
  <c r="G113" i="4"/>
  <c r="DM113" i="4" s="1"/>
  <c r="DK112" i="4"/>
  <c r="DJ112" i="4"/>
  <c r="DI112" i="4"/>
  <c r="DH112" i="4"/>
  <c r="DG112" i="4"/>
  <c r="DE112" i="4"/>
  <c r="DD112" i="4"/>
  <c r="DC112" i="4"/>
  <c r="DB112" i="4"/>
  <c r="DA112" i="4"/>
  <c r="CZ112" i="4"/>
  <c r="CY112" i="4"/>
  <c r="CX112" i="4"/>
  <c r="CW112" i="4"/>
  <c r="CV112" i="4"/>
  <c r="CU112" i="4"/>
  <c r="CT112" i="4"/>
  <c r="CS112" i="4"/>
  <c r="CR112" i="4"/>
  <c r="CJ112" i="4"/>
  <c r="BU112" i="4"/>
  <c r="BS112" i="4"/>
  <c r="BR112" i="4"/>
  <c r="BQ112" i="4"/>
  <c r="BP112" i="4"/>
  <c r="BO112" i="4"/>
  <c r="BM112" i="4"/>
  <c r="BL112" i="4"/>
  <c r="BK112" i="4"/>
  <c r="BJ112" i="4"/>
  <c r="BI112" i="4"/>
  <c r="BH112" i="4"/>
  <c r="BG112" i="4"/>
  <c r="BF112" i="4"/>
  <c r="BE112" i="4"/>
  <c r="BD112" i="4"/>
  <c r="BC112" i="4"/>
  <c r="BB112" i="4"/>
  <c r="BA112" i="4"/>
  <c r="AZ112" i="4"/>
  <c r="AR112" i="4"/>
  <c r="G112" i="4"/>
  <c r="DM112" i="4" s="1"/>
  <c r="DJ111" i="4"/>
  <c r="DI111" i="4"/>
  <c r="DH111" i="4"/>
  <c r="DG111" i="4"/>
  <c r="DF111" i="4"/>
  <c r="DE111" i="4"/>
  <c r="DD111" i="4"/>
  <c r="DC111" i="4"/>
  <c r="DB111" i="4"/>
  <c r="DA111" i="4"/>
  <c r="CZ111" i="4"/>
  <c r="CY111" i="4"/>
  <c r="CX111" i="4"/>
  <c r="CW111" i="4"/>
  <c r="CV111" i="4"/>
  <c r="CU111" i="4"/>
  <c r="CT111" i="4"/>
  <c r="CS111" i="4"/>
  <c r="CR111" i="4"/>
  <c r="BU111" i="4"/>
  <c r="BS111" i="4"/>
  <c r="BR111" i="4"/>
  <c r="BQ111" i="4"/>
  <c r="BP111" i="4"/>
  <c r="BO111" i="4"/>
  <c r="BN111" i="4"/>
  <c r="BM111" i="4"/>
  <c r="BL111" i="4"/>
  <c r="BK111" i="4"/>
  <c r="BJ111" i="4"/>
  <c r="BI111" i="4"/>
  <c r="BH111" i="4"/>
  <c r="BG111" i="4"/>
  <c r="BF111" i="4"/>
  <c r="BE111" i="4"/>
  <c r="BD111" i="4"/>
  <c r="BC111" i="4"/>
  <c r="BB111" i="4"/>
  <c r="BA111" i="4"/>
  <c r="AZ111" i="4"/>
  <c r="AC111" i="4"/>
  <c r="AA111" i="4"/>
  <c r="DK111" i="4" s="1"/>
  <c r="G111" i="4"/>
  <c r="DM111" i="4" s="1"/>
  <c r="DM110" i="4"/>
  <c r="DK110" i="4"/>
  <c r="DJ110" i="4"/>
  <c r="DI110" i="4"/>
  <c r="DH110" i="4"/>
  <c r="DG110" i="4"/>
  <c r="DF110" i="4"/>
  <c r="DE110" i="4"/>
  <c r="DD110" i="4"/>
  <c r="DC110" i="4"/>
  <c r="DB110" i="4"/>
  <c r="DA110" i="4"/>
  <c r="CZ110" i="4"/>
  <c r="CY110" i="4"/>
  <c r="CX110" i="4"/>
  <c r="CW110" i="4"/>
  <c r="CV110" i="4"/>
  <c r="CU110" i="4"/>
  <c r="CT110" i="4"/>
  <c r="CR110" i="4"/>
  <c r="BW110" i="4"/>
  <c r="BU110" i="4" s="1"/>
  <c r="BT110" i="4" s="1"/>
  <c r="CP110" i="4" s="1"/>
  <c r="BS110" i="4"/>
  <c r="BR110" i="4"/>
  <c r="BQ110" i="4"/>
  <c r="BP110" i="4"/>
  <c r="BO110" i="4"/>
  <c r="BN110" i="4"/>
  <c r="BM110" i="4"/>
  <c r="BL110" i="4"/>
  <c r="BK110" i="4"/>
  <c r="BJ110" i="4"/>
  <c r="BI110" i="4"/>
  <c r="BH110" i="4"/>
  <c r="BG110" i="4"/>
  <c r="BF110" i="4"/>
  <c r="BE110" i="4"/>
  <c r="BD110" i="4"/>
  <c r="BC110" i="4"/>
  <c r="BB110" i="4"/>
  <c r="AZ110" i="4"/>
  <c r="AE110" i="4"/>
  <c r="AC110" i="4" s="1"/>
  <c r="AB110" i="4" s="1"/>
  <c r="AX110" i="4" s="1"/>
  <c r="I110" i="4"/>
  <c r="G110" i="4"/>
  <c r="DK109" i="4"/>
  <c r="DJ109" i="4"/>
  <c r="DI109" i="4"/>
  <c r="DH109" i="4"/>
  <c r="DG109" i="4"/>
  <c r="DF109" i="4"/>
  <c r="DE109" i="4"/>
  <c r="DD109" i="4"/>
  <c r="DC109" i="4"/>
  <c r="DB109" i="4"/>
  <c r="DA109" i="4"/>
  <c r="CZ109" i="4"/>
  <c r="CY109" i="4"/>
  <c r="CX109" i="4"/>
  <c r="CW109" i="4"/>
  <c r="CV109" i="4"/>
  <c r="CU109" i="4"/>
  <c r="CT109" i="4"/>
  <c r="CR109" i="4"/>
  <c r="BW109" i="4"/>
  <c r="BU109" i="4" s="1"/>
  <c r="BS109" i="4"/>
  <c r="BR109" i="4"/>
  <c r="BQ109" i="4"/>
  <c r="BP109" i="4"/>
  <c r="BO109" i="4"/>
  <c r="BN109" i="4"/>
  <c r="BM109" i="4"/>
  <c r="BL109" i="4"/>
  <c r="BK109" i="4"/>
  <c r="BJ109" i="4"/>
  <c r="BI109" i="4"/>
  <c r="BH109" i="4"/>
  <c r="BG109" i="4"/>
  <c r="BF109" i="4"/>
  <c r="BE109" i="4"/>
  <c r="BD109" i="4"/>
  <c r="BC109" i="4"/>
  <c r="BB109" i="4"/>
  <c r="AZ109" i="4"/>
  <c r="AE109" i="4"/>
  <c r="G109" i="4"/>
  <c r="DM109" i="4" s="1"/>
  <c r="DK108" i="4"/>
  <c r="DJ108" i="4"/>
  <c r="DI108" i="4"/>
  <c r="DH108" i="4"/>
  <c r="DG108" i="4"/>
  <c r="DF108" i="4"/>
  <c r="DE108" i="4"/>
  <c r="DD108" i="4"/>
  <c r="DC108" i="4"/>
  <c r="DB108" i="4"/>
  <c r="DA108" i="4"/>
  <c r="CZ108" i="4"/>
  <c r="CY108" i="4"/>
  <c r="CX108" i="4"/>
  <c r="CW108" i="4"/>
  <c r="CV108" i="4"/>
  <c r="CU108" i="4"/>
  <c r="CT108" i="4"/>
  <c r="CR108" i="4"/>
  <c r="BW108" i="4"/>
  <c r="BS108" i="4"/>
  <c r="BR108" i="4"/>
  <c r="BQ108" i="4"/>
  <c r="BP108" i="4"/>
  <c r="BO108" i="4"/>
  <c r="BN108" i="4"/>
  <c r="BM108" i="4"/>
  <c r="BL108" i="4"/>
  <c r="BK108" i="4"/>
  <c r="BJ108" i="4"/>
  <c r="BI108" i="4"/>
  <c r="BH108" i="4"/>
  <c r="BG108" i="4"/>
  <c r="BF108" i="4"/>
  <c r="BE108" i="4"/>
  <c r="BD108" i="4"/>
  <c r="BC108" i="4"/>
  <c r="BB108" i="4"/>
  <c r="AZ108" i="4"/>
  <c r="AE108" i="4"/>
  <c r="BA108" i="4" s="1"/>
  <c r="AC108" i="4"/>
  <c r="AB108" i="4" s="1"/>
  <c r="AX108" i="4" s="1"/>
  <c r="I108" i="4"/>
  <c r="G108" i="4" s="1"/>
  <c r="DM108" i="4" s="1"/>
  <c r="DK107" i="4"/>
  <c r="DK124" i="4" s="1"/>
  <c r="DH107" i="4"/>
  <c r="DH124" i="4" s="1"/>
  <c r="DG107" i="4"/>
  <c r="DF107" i="4"/>
  <c r="DE107" i="4"/>
  <c r="DE124" i="4" s="1"/>
  <c r="DD107" i="4"/>
  <c r="DC107" i="4"/>
  <c r="DB107" i="4"/>
  <c r="DA107" i="4"/>
  <c r="CZ107" i="4"/>
  <c r="CY107" i="4"/>
  <c r="CX107" i="4"/>
  <c r="CW107" i="4"/>
  <c r="CV107" i="4"/>
  <c r="CU107" i="4"/>
  <c r="CT107" i="4"/>
  <c r="CS107" i="4"/>
  <c r="CR107" i="4"/>
  <c r="CN107" i="4"/>
  <c r="CN114" i="4" s="1"/>
  <c r="CM107" i="4"/>
  <c r="CM124" i="4" s="1"/>
  <c r="BS107" i="4"/>
  <c r="BS124" i="4" s="1"/>
  <c r="BP107" i="4"/>
  <c r="BP124" i="4" s="1"/>
  <c r="BO107" i="4"/>
  <c r="BN107" i="4"/>
  <c r="BL107" i="4"/>
  <c r="BK107" i="4"/>
  <c r="BJ107" i="4"/>
  <c r="BI107" i="4"/>
  <c r="BH107" i="4"/>
  <c r="BG107" i="4"/>
  <c r="BF107" i="4"/>
  <c r="BE107" i="4"/>
  <c r="BD107" i="4"/>
  <c r="BC107" i="4"/>
  <c r="BC124" i="4" s="1"/>
  <c r="BB107" i="4"/>
  <c r="BA107" i="4"/>
  <c r="AZ107" i="4"/>
  <c r="AV107" i="4"/>
  <c r="AV124" i="4" s="1"/>
  <c r="AU107" i="4"/>
  <c r="BQ107" i="4" s="1"/>
  <c r="BQ124" i="4" s="1"/>
  <c r="AQ107" i="4"/>
  <c r="Y107" i="4"/>
  <c r="G107" i="4" s="1"/>
  <c r="DK106" i="4"/>
  <c r="DJ106" i="4"/>
  <c r="DI106" i="4"/>
  <c r="DH106" i="4"/>
  <c r="DG106" i="4"/>
  <c r="DE106" i="4"/>
  <c r="DD106" i="4"/>
  <c r="DC106" i="4"/>
  <c r="DB106" i="4"/>
  <c r="DA106" i="4"/>
  <c r="CZ106" i="4"/>
  <c r="CY106" i="4"/>
  <c r="CX106" i="4"/>
  <c r="CW106" i="4"/>
  <c r="CV106" i="4"/>
  <c r="CU106" i="4"/>
  <c r="CT106" i="4"/>
  <c r="CR106" i="4"/>
  <c r="BW106" i="4"/>
  <c r="CJ106" i="4" s="1"/>
  <c r="BS106" i="4"/>
  <c r="BR106" i="4"/>
  <c r="BQ106" i="4"/>
  <c r="BP106" i="4"/>
  <c r="BO106" i="4"/>
  <c r="BM106" i="4"/>
  <c r="BL106" i="4"/>
  <c r="BK106" i="4"/>
  <c r="BJ106" i="4"/>
  <c r="BI106" i="4"/>
  <c r="BH106" i="4"/>
  <c r="BG106" i="4"/>
  <c r="BF106" i="4"/>
  <c r="BE106" i="4"/>
  <c r="BD106" i="4"/>
  <c r="BC106" i="4"/>
  <c r="BB106" i="4"/>
  <c r="AZ106" i="4"/>
  <c r="AR106" i="4"/>
  <c r="AE106" i="4"/>
  <c r="V106" i="4"/>
  <c r="G106" i="4"/>
  <c r="DM106" i="4" s="1"/>
  <c r="DJ105" i="4"/>
  <c r="DI105" i="4"/>
  <c r="DH105" i="4"/>
  <c r="DG105" i="4"/>
  <c r="DF105" i="4"/>
  <c r="DE105" i="4"/>
  <c r="DD105" i="4"/>
  <c r="DC105" i="4"/>
  <c r="DB105" i="4"/>
  <c r="DA105" i="4"/>
  <c r="CZ105" i="4"/>
  <c r="CY105" i="4"/>
  <c r="CX105" i="4"/>
  <c r="CW105" i="4"/>
  <c r="CV105" i="4"/>
  <c r="CU105" i="4"/>
  <c r="CS105" i="4"/>
  <c r="CR105" i="4"/>
  <c r="BX105" i="4"/>
  <c r="CT105" i="4" s="1"/>
  <c r="BR105" i="4"/>
  <c r="BQ105" i="4"/>
  <c r="BP105" i="4"/>
  <c r="BO105" i="4"/>
  <c r="BN105" i="4"/>
  <c r="BM105" i="4"/>
  <c r="BL105" i="4"/>
  <c r="BK105" i="4"/>
  <c r="BJ105" i="4"/>
  <c r="BI105" i="4"/>
  <c r="BH105" i="4"/>
  <c r="BG105" i="4"/>
  <c r="BF105" i="4"/>
  <c r="BE105" i="4"/>
  <c r="BD105" i="4"/>
  <c r="BC105" i="4"/>
  <c r="BA105" i="4"/>
  <c r="AZ105" i="4"/>
  <c r="AF105" i="4"/>
  <c r="AC105" i="4" s="1"/>
  <c r="AA105" i="4"/>
  <c r="J105" i="4"/>
  <c r="G105" i="4"/>
  <c r="DM105" i="4" s="1"/>
  <c r="DJ104" i="4"/>
  <c r="DI104" i="4"/>
  <c r="DH104" i="4"/>
  <c r="DG104" i="4"/>
  <c r="DF104" i="4"/>
  <c r="DE104" i="4"/>
  <c r="DD104" i="4"/>
  <c r="DC104" i="4"/>
  <c r="DB104" i="4"/>
  <c r="DA104" i="4"/>
  <c r="CZ104" i="4"/>
  <c r="CY104" i="4"/>
  <c r="CX104" i="4"/>
  <c r="CW104" i="4"/>
  <c r="CV104" i="4"/>
  <c r="CU104" i="4"/>
  <c r="CT104" i="4"/>
  <c r="CS104" i="4"/>
  <c r="CR104" i="4"/>
  <c r="CO104" i="4"/>
  <c r="BU104" i="4" s="1"/>
  <c r="BR104" i="4"/>
  <c r="BQ104" i="4"/>
  <c r="BP104" i="4"/>
  <c r="BO104" i="4"/>
  <c r="BN104" i="4"/>
  <c r="BM104" i="4"/>
  <c r="BL104" i="4"/>
  <c r="BK104" i="4"/>
  <c r="BJ104" i="4"/>
  <c r="BI104" i="4"/>
  <c r="BH104" i="4"/>
  <c r="BG104" i="4"/>
  <c r="BF104" i="4"/>
  <c r="BE104" i="4"/>
  <c r="BD104" i="4"/>
  <c r="BC104" i="4"/>
  <c r="BB104" i="4"/>
  <c r="BA104" i="4"/>
  <c r="AZ104" i="4"/>
  <c r="AW104" i="4"/>
  <c r="AC104" i="4" s="1"/>
  <c r="AA104" i="4"/>
  <c r="DM103" i="4"/>
  <c r="DJ103" i="4"/>
  <c r="DI103" i="4"/>
  <c r="DH103" i="4"/>
  <c r="DG103" i="4"/>
  <c r="DF103" i="4"/>
  <c r="DE103" i="4"/>
  <c r="DC103" i="4"/>
  <c r="DB103" i="4"/>
  <c r="DA103" i="4"/>
  <c r="CZ103" i="4"/>
  <c r="CY103" i="4"/>
  <c r="CX103" i="4"/>
  <c r="CW103" i="4"/>
  <c r="CV103" i="4"/>
  <c r="CU103" i="4"/>
  <c r="CT103" i="4"/>
  <c r="CS103" i="4"/>
  <c r="CR103" i="4"/>
  <c r="CH103" i="4"/>
  <c r="CH119" i="4" s="1"/>
  <c r="BR103" i="4"/>
  <c r="BQ103" i="4"/>
  <c r="BP103" i="4"/>
  <c r="BO103" i="4"/>
  <c r="BN103" i="4"/>
  <c r="BM103" i="4"/>
  <c r="BK103" i="4"/>
  <c r="BJ103" i="4"/>
  <c r="BI103" i="4"/>
  <c r="BH103" i="4"/>
  <c r="BG103" i="4"/>
  <c r="BF103" i="4"/>
  <c r="BE103" i="4"/>
  <c r="BD103" i="4"/>
  <c r="BC103" i="4"/>
  <c r="BB103" i="4"/>
  <c r="BA103" i="4"/>
  <c r="AZ103" i="4"/>
  <c r="AW103" i="4"/>
  <c r="BS103" i="4" s="1"/>
  <c r="AP103" i="4"/>
  <c r="AP119" i="4" s="1"/>
  <c r="AA103" i="4"/>
  <c r="G103" i="4"/>
  <c r="DM102" i="4"/>
  <c r="DJ102" i="4"/>
  <c r="DI102" i="4"/>
  <c r="DH102" i="4"/>
  <c r="DG102" i="4"/>
  <c r="DF102" i="4"/>
  <c r="DE102" i="4"/>
  <c r="DD102" i="4"/>
  <c r="DC102" i="4"/>
  <c r="DB102" i="4"/>
  <c r="DA102" i="4"/>
  <c r="CZ102" i="4"/>
  <c r="CY102" i="4"/>
  <c r="CX102" i="4"/>
  <c r="CV102" i="4"/>
  <c r="CU102" i="4"/>
  <c r="CT102" i="4"/>
  <c r="CS102" i="4"/>
  <c r="CR102" i="4"/>
  <c r="CA102" i="4"/>
  <c r="BR102" i="4"/>
  <c r="BQ102" i="4"/>
  <c r="BP102" i="4"/>
  <c r="BO102" i="4"/>
  <c r="BN102" i="4"/>
  <c r="BM102" i="4"/>
  <c r="BL102" i="4"/>
  <c r="BK102" i="4"/>
  <c r="BJ102" i="4"/>
  <c r="BI102" i="4"/>
  <c r="BH102" i="4"/>
  <c r="BG102" i="4"/>
  <c r="BF102" i="4"/>
  <c r="BD102" i="4"/>
  <c r="BC102" i="4"/>
  <c r="BB102" i="4"/>
  <c r="BA102" i="4"/>
  <c r="AZ102" i="4"/>
  <c r="AW102" i="4"/>
  <c r="AI102" i="4"/>
  <c r="AA102" i="4"/>
  <c r="G102" i="4"/>
  <c r="DJ101" i="4"/>
  <c r="DI101" i="4"/>
  <c r="DH101" i="4"/>
  <c r="DG101" i="4"/>
  <c r="DE101" i="4"/>
  <c r="DD101" i="4"/>
  <c r="DC101" i="4"/>
  <c r="DC119" i="4" s="1"/>
  <c r="DB101" i="4"/>
  <c r="DA101" i="4"/>
  <c r="CZ101" i="4"/>
  <c r="CY101" i="4"/>
  <c r="CX101" i="4"/>
  <c r="CW101" i="4"/>
  <c r="CV101" i="4"/>
  <c r="CU101" i="4"/>
  <c r="CS101" i="4"/>
  <c r="CR101" i="4"/>
  <c r="CJ101" i="4"/>
  <c r="BX101" i="4"/>
  <c r="CT101" i="4" s="1"/>
  <c r="BR101" i="4"/>
  <c r="BQ101" i="4"/>
  <c r="BP101" i="4"/>
  <c r="BO101" i="4"/>
  <c r="BL101" i="4"/>
  <c r="BK101" i="4"/>
  <c r="BJ101" i="4"/>
  <c r="BI101" i="4"/>
  <c r="BH101" i="4"/>
  <c r="BG101" i="4"/>
  <c r="BF101" i="4"/>
  <c r="BE101" i="4"/>
  <c r="BD101" i="4"/>
  <c r="BC101" i="4"/>
  <c r="BA101" i="4"/>
  <c r="AZ101" i="4"/>
  <c r="AW101" i="4"/>
  <c r="AR101" i="4"/>
  <c r="BN101" i="4" s="1"/>
  <c r="AQ101" i="4"/>
  <c r="BM101" i="4" s="1"/>
  <c r="AF101" i="4"/>
  <c r="BB101" i="4" s="1"/>
  <c r="AA101" i="4"/>
  <c r="V101" i="4"/>
  <c r="G101" i="4"/>
  <c r="DM101" i="4" s="1"/>
  <c r="DJ100" i="4"/>
  <c r="DJ119" i="4" s="1"/>
  <c r="DI100" i="4"/>
  <c r="DI119" i="4" s="1"/>
  <c r="DH100" i="4"/>
  <c r="DH119" i="4" s="1"/>
  <c r="DG100" i="4"/>
  <c r="DE100" i="4"/>
  <c r="DD100" i="4"/>
  <c r="DC100" i="4"/>
  <c r="DA100" i="4"/>
  <c r="CZ100" i="4"/>
  <c r="CZ119" i="4" s="1"/>
  <c r="CY100" i="4"/>
  <c r="CY119" i="4" s="1"/>
  <c r="CX100" i="4"/>
  <c r="CW100" i="4"/>
  <c r="CS100" i="4"/>
  <c r="CR100" i="4"/>
  <c r="CF100" i="4"/>
  <c r="CF114" i="4" s="1"/>
  <c r="BZ100" i="4"/>
  <c r="BY100" i="4"/>
  <c r="BR100" i="4"/>
  <c r="BQ100" i="4"/>
  <c r="BP100" i="4"/>
  <c r="BO100" i="4"/>
  <c r="BN100" i="4"/>
  <c r="BL100" i="4"/>
  <c r="BK100" i="4"/>
  <c r="BK119" i="4" s="1"/>
  <c r="BI100" i="4"/>
  <c r="BI119" i="4" s="1"/>
  <c r="BH100" i="4"/>
  <c r="BG100" i="4"/>
  <c r="BF100" i="4"/>
  <c r="BE100" i="4"/>
  <c r="BC100" i="4"/>
  <c r="BC119" i="4" s="1"/>
  <c r="BA100" i="4"/>
  <c r="AZ100" i="4"/>
  <c r="AW100" i="4"/>
  <c r="AQ100" i="4"/>
  <c r="AN100" i="4"/>
  <c r="AH100" i="4"/>
  <c r="AF100" i="4"/>
  <c r="AA100" i="4"/>
  <c r="V100" i="4"/>
  <c r="J100" i="4"/>
  <c r="J119" i="4" s="1"/>
  <c r="DJ99" i="4"/>
  <c r="DI99" i="4"/>
  <c r="DH99" i="4"/>
  <c r="DG99" i="4"/>
  <c r="DF99" i="4"/>
  <c r="DE99" i="4"/>
  <c r="DC99" i="4"/>
  <c r="DB99" i="4"/>
  <c r="DA99" i="4"/>
  <c r="CW99" i="4"/>
  <c r="CV99" i="4"/>
  <c r="CS99" i="4"/>
  <c r="CR99" i="4"/>
  <c r="CO99" i="4"/>
  <c r="DK99" i="4" s="1"/>
  <c r="CJ99" i="4"/>
  <c r="CJ118" i="4" s="1"/>
  <c r="CH99" i="4"/>
  <c r="DD99" i="4" s="1"/>
  <c r="CD99" i="4"/>
  <c r="CZ99" i="4" s="1"/>
  <c r="CC99" i="4"/>
  <c r="CC118" i="4" s="1"/>
  <c r="CC125" i="4" s="1"/>
  <c r="CC127" i="4" s="1"/>
  <c r="CB99" i="4"/>
  <c r="BY99" i="4"/>
  <c r="BX99" i="4"/>
  <c r="BR99" i="4"/>
  <c r="BR118" i="4" s="1"/>
  <c r="BQ99" i="4"/>
  <c r="BP99" i="4"/>
  <c r="BO99" i="4"/>
  <c r="BM99" i="4"/>
  <c r="BK99" i="4"/>
  <c r="BJ99" i="4"/>
  <c r="BI99" i="4"/>
  <c r="BE99" i="4"/>
  <c r="BD99" i="4"/>
  <c r="BA99" i="4"/>
  <c r="AW99" i="4"/>
  <c r="BS99" i="4" s="1"/>
  <c r="AR99" i="4"/>
  <c r="AR118" i="4" s="1"/>
  <c r="AQ99" i="4"/>
  <c r="AP99" i="4"/>
  <c r="AL99" i="4"/>
  <c r="AL114" i="4" s="1"/>
  <c r="AK99" i="4"/>
  <c r="AJ99" i="4"/>
  <c r="BF99" i="4" s="1"/>
  <c r="AG99" i="4"/>
  <c r="AD99" i="4"/>
  <c r="AD118" i="4" s="1"/>
  <c r="AA99" i="4"/>
  <c r="V99" i="4"/>
  <c r="G99" i="4"/>
  <c r="DM99" i="4" s="1"/>
  <c r="DK98" i="4"/>
  <c r="DJ98" i="4"/>
  <c r="DI98" i="4"/>
  <c r="DH98" i="4"/>
  <c r="DH118" i="4" s="1"/>
  <c r="DG98" i="4"/>
  <c r="DG118" i="4" s="1"/>
  <c r="DF98" i="4"/>
  <c r="DD98" i="4"/>
  <c r="DC98" i="4"/>
  <c r="DC118" i="4" s="1"/>
  <c r="DB98" i="4"/>
  <c r="DA98" i="4"/>
  <c r="CZ98" i="4"/>
  <c r="CY98" i="4"/>
  <c r="CX98" i="4"/>
  <c r="CW98" i="4"/>
  <c r="CW118" i="4" s="1"/>
  <c r="CV98" i="4"/>
  <c r="CV118" i="4" s="1"/>
  <c r="CU98" i="4"/>
  <c r="CT98" i="4"/>
  <c r="CS98" i="4"/>
  <c r="CR98" i="4"/>
  <c r="CI98" i="4"/>
  <c r="BU98" i="4" s="1"/>
  <c r="BS98" i="4"/>
  <c r="BS118" i="4" s="1"/>
  <c r="BR98" i="4"/>
  <c r="BQ98" i="4"/>
  <c r="BQ118" i="4" s="1"/>
  <c r="BP98" i="4"/>
  <c r="BP118" i="4" s="1"/>
  <c r="BO98" i="4"/>
  <c r="BO123" i="4" s="1"/>
  <c r="BN98" i="4"/>
  <c r="BL98" i="4"/>
  <c r="BK98" i="4"/>
  <c r="BK118" i="4" s="1"/>
  <c r="BJ98" i="4"/>
  <c r="BI98" i="4"/>
  <c r="BI118" i="4" s="1"/>
  <c r="BH98" i="4"/>
  <c r="BG98" i="4"/>
  <c r="BF98" i="4"/>
  <c r="BE98" i="4"/>
  <c r="BD98" i="4"/>
  <c r="BC98" i="4"/>
  <c r="BB98" i="4"/>
  <c r="BA98" i="4"/>
  <c r="BA118" i="4" s="1"/>
  <c r="AZ98" i="4"/>
  <c r="AQ98" i="4"/>
  <c r="AC98" i="4" s="1"/>
  <c r="AA98" i="4"/>
  <c r="AA118" i="4" s="1"/>
  <c r="U98" i="4"/>
  <c r="G98" i="4"/>
  <c r="DO97" i="4"/>
  <c r="DM97" i="4"/>
  <c r="DF97" i="4"/>
  <c r="CQ97" i="4"/>
  <c r="BU97" i="4"/>
  <c r="BT97" i="4"/>
  <c r="CP97" i="4" s="1"/>
  <c r="BN97" i="4"/>
  <c r="AY97" i="4"/>
  <c r="DN97" i="4" s="1"/>
  <c r="AC97" i="4"/>
  <c r="AB97" i="4" s="1"/>
  <c r="AX97" i="4" s="1"/>
  <c r="G97" i="4"/>
  <c r="DM96" i="4"/>
  <c r="DF96" i="4"/>
  <c r="CQ96" i="4" s="1"/>
  <c r="DO96" i="4" s="1"/>
  <c r="BU96" i="4"/>
  <c r="BN96" i="4"/>
  <c r="AY96" i="4" s="1"/>
  <c r="AC96" i="4"/>
  <c r="G96" i="4"/>
  <c r="DK95" i="4"/>
  <c r="DJ95" i="4"/>
  <c r="DI95" i="4"/>
  <c r="DH95" i="4"/>
  <c r="DG95" i="4"/>
  <c r="DF95" i="4"/>
  <c r="DE95" i="4"/>
  <c r="DD95" i="4"/>
  <c r="DC95" i="4"/>
  <c r="DC114" i="4" s="1"/>
  <c r="DA95" i="4"/>
  <c r="DA114" i="4" s="1"/>
  <c r="CZ95" i="4"/>
  <c r="CY95" i="4"/>
  <c r="CX95" i="4"/>
  <c r="CW95" i="4"/>
  <c r="CV95" i="4"/>
  <c r="CU95" i="4"/>
  <c r="CT95" i="4"/>
  <c r="CS95" i="4"/>
  <c r="CR95" i="4"/>
  <c r="CQ95" i="4"/>
  <c r="BU95" i="4"/>
  <c r="BS95" i="4"/>
  <c r="BR95" i="4"/>
  <c r="BQ95" i="4"/>
  <c r="BP95" i="4"/>
  <c r="BO95" i="4"/>
  <c r="BO114" i="4" s="1"/>
  <c r="BN95" i="4"/>
  <c r="BM95" i="4"/>
  <c r="BL95" i="4"/>
  <c r="BK95" i="4"/>
  <c r="BJ95" i="4"/>
  <c r="BI95" i="4"/>
  <c r="BH95" i="4"/>
  <c r="BG95" i="4"/>
  <c r="BF95" i="4"/>
  <c r="BE95" i="4"/>
  <c r="BD95" i="4"/>
  <c r="BC95" i="4"/>
  <c r="BB95" i="4"/>
  <c r="BA95" i="4"/>
  <c r="AZ95" i="4"/>
  <c r="AY95" i="4"/>
  <c r="AC95" i="4"/>
  <c r="G95" i="4"/>
  <c r="CN94" i="4"/>
  <c r="CM94" i="4"/>
  <c r="CL94" i="4"/>
  <c r="CG94" i="4"/>
  <c r="CF94" i="4"/>
  <c r="CE94" i="4"/>
  <c r="CD94" i="4"/>
  <c r="CC94" i="4"/>
  <c r="CB94" i="4"/>
  <c r="CA94" i="4"/>
  <c r="BZ94" i="4"/>
  <c r="AV94" i="4"/>
  <c r="AU94" i="4"/>
  <c r="AT94" i="4"/>
  <c r="AR94" i="4"/>
  <c r="AO94" i="4"/>
  <c r="AN94" i="4"/>
  <c r="AM94" i="4"/>
  <c r="AL94" i="4"/>
  <c r="AK94" i="4"/>
  <c r="AJ94" i="4"/>
  <c r="AI94" i="4"/>
  <c r="AH94" i="4"/>
  <c r="Z94" i="4"/>
  <c r="Y94" i="4"/>
  <c r="X94" i="4"/>
  <c r="W94" i="4"/>
  <c r="V94" i="4"/>
  <c r="U94" i="4"/>
  <c r="T94" i="4"/>
  <c r="S94" i="4"/>
  <c r="R94" i="4"/>
  <c r="Q94" i="4"/>
  <c r="P94" i="4"/>
  <c r="O94" i="4"/>
  <c r="N94" i="4"/>
  <c r="M94" i="4"/>
  <c r="L94" i="4"/>
  <c r="K94" i="4"/>
  <c r="J94" i="4"/>
  <c r="I94" i="4"/>
  <c r="DM93" i="4"/>
  <c r="DK93" i="4"/>
  <c r="DJ93" i="4"/>
  <c r="DI93" i="4"/>
  <c r="DH93" i="4"/>
  <c r="DG93" i="4"/>
  <c r="DF93" i="4"/>
  <c r="DE93" i="4"/>
  <c r="DD93" i="4"/>
  <c r="DC93" i="4"/>
  <c r="DB93" i="4"/>
  <c r="DA93" i="4"/>
  <c r="CZ93" i="4"/>
  <c r="CY93" i="4"/>
  <c r="CX93" i="4"/>
  <c r="CW93" i="4"/>
  <c r="CV93" i="4"/>
  <c r="CU93" i="4"/>
  <c r="CS93" i="4"/>
  <c r="CR93" i="4"/>
  <c r="BX93" i="4"/>
  <c r="BX126" i="4" s="1"/>
  <c r="BS93" i="4"/>
  <c r="BR93" i="4"/>
  <c r="BQ93" i="4"/>
  <c r="BP93" i="4"/>
  <c r="BO93" i="4"/>
  <c r="BN93" i="4"/>
  <c r="BM93" i="4"/>
  <c r="BL93" i="4"/>
  <c r="BK93" i="4"/>
  <c r="BJ93" i="4"/>
  <c r="BI93" i="4"/>
  <c r="BH93" i="4"/>
  <c r="BG93" i="4"/>
  <c r="BF93" i="4"/>
  <c r="BE93" i="4"/>
  <c r="BD93" i="4"/>
  <c r="BC93" i="4"/>
  <c r="BA93" i="4"/>
  <c r="AZ93" i="4"/>
  <c r="AF93" i="4"/>
  <c r="AC93" i="4"/>
  <c r="AB93" i="4" s="1"/>
  <c r="AX93" i="4" s="1"/>
  <c r="G93" i="4"/>
  <c r="DK92" i="4"/>
  <c r="DJ92" i="4"/>
  <c r="DI92" i="4"/>
  <c r="DH92" i="4"/>
  <c r="DG92" i="4"/>
  <c r="DF92" i="4"/>
  <c r="DE92" i="4"/>
  <c r="DD92" i="4"/>
  <c r="DC92" i="4"/>
  <c r="DB92" i="4"/>
  <c r="DA92" i="4"/>
  <c r="CZ92" i="4"/>
  <c r="CY92" i="4"/>
  <c r="CX92" i="4"/>
  <c r="CW92" i="4"/>
  <c r="CV92" i="4"/>
  <c r="CU92" i="4"/>
  <c r="CT92" i="4"/>
  <c r="CR92" i="4"/>
  <c r="BW92" i="4"/>
  <c r="BU92" i="4" s="1"/>
  <c r="BS92" i="4"/>
  <c r="BR92" i="4"/>
  <c r="BQ92" i="4"/>
  <c r="BP92" i="4"/>
  <c r="BO92" i="4"/>
  <c r="BN92" i="4"/>
  <c r="BM92" i="4"/>
  <c r="BL92" i="4"/>
  <c r="BK92" i="4"/>
  <c r="BK94" i="4" s="1"/>
  <c r="BJ92" i="4"/>
  <c r="BI92" i="4"/>
  <c r="BH92" i="4"/>
  <c r="BG92" i="4"/>
  <c r="BF92" i="4"/>
  <c r="BE92" i="4"/>
  <c r="BD92" i="4"/>
  <c r="BC92" i="4"/>
  <c r="BB92" i="4"/>
  <c r="BA92" i="4"/>
  <c r="AY92" i="4" s="1"/>
  <c r="AZ92" i="4"/>
  <c r="AE92" i="4"/>
  <c r="AC92" i="4" s="1"/>
  <c r="AB92" i="4" s="1"/>
  <c r="AX92" i="4" s="1"/>
  <c r="AA92" i="4"/>
  <c r="G92" i="4"/>
  <c r="DM92" i="4" s="1"/>
  <c r="DM91" i="4"/>
  <c r="DK91" i="4"/>
  <c r="DJ91" i="4"/>
  <c r="DI91" i="4"/>
  <c r="DH91" i="4"/>
  <c r="DG91" i="4"/>
  <c r="DF91" i="4"/>
  <c r="DE91" i="4"/>
  <c r="DD91" i="4"/>
  <c r="DC91" i="4"/>
  <c r="DB91" i="4"/>
  <c r="DA91" i="4"/>
  <c r="CZ91" i="4"/>
  <c r="CY91" i="4"/>
  <c r="CX91" i="4"/>
  <c r="CW91" i="4"/>
  <c r="CV91" i="4"/>
  <c r="CU91" i="4"/>
  <c r="CT91" i="4"/>
  <c r="CR91" i="4"/>
  <c r="CI91" i="4"/>
  <c r="BW91" i="4"/>
  <c r="BS91" i="4"/>
  <c r="BR91" i="4"/>
  <c r="BQ91" i="4"/>
  <c r="BP91" i="4"/>
  <c r="BO91" i="4"/>
  <c r="BN91" i="4"/>
  <c r="BL91" i="4"/>
  <c r="BK91" i="4"/>
  <c r="BJ91" i="4"/>
  <c r="BI91" i="4"/>
  <c r="BH91" i="4"/>
  <c r="BG91" i="4"/>
  <c r="BF91" i="4"/>
  <c r="BE91" i="4"/>
  <c r="BD91" i="4"/>
  <c r="BC91" i="4"/>
  <c r="BB91" i="4"/>
  <c r="BA91" i="4"/>
  <c r="AZ91" i="4"/>
  <c r="AQ91" i="4"/>
  <c r="BM91" i="4" s="1"/>
  <c r="AE91" i="4"/>
  <c r="G91" i="4"/>
  <c r="DK90" i="4"/>
  <c r="DJ90" i="4"/>
  <c r="DI90" i="4"/>
  <c r="DH90" i="4"/>
  <c r="DF90" i="4"/>
  <c r="DE90" i="4"/>
  <c r="DD90" i="4"/>
  <c r="DC90" i="4"/>
  <c r="DB90" i="4"/>
  <c r="DA90" i="4"/>
  <c r="CZ90" i="4"/>
  <c r="CY90" i="4"/>
  <c r="CX90" i="4"/>
  <c r="CW90" i="4"/>
  <c r="CV90" i="4"/>
  <c r="CT90" i="4"/>
  <c r="CS90" i="4"/>
  <c r="CR90" i="4"/>
  <c r="CK90" i="4"/>
  <c r="DG90" i="4" s="1"/>
  <c r="BY90" i="4"/>
  <c r="BS90" i="4"/>
  <c r="BR90" i="4"/>
  <c r="BQ90" i="4"/>
  <c r="BP90" i="4"/>
  <c r="BN90" i="4"/>
  <c r="BL90" i="4"/>
  <c r="BK90" i="4"/>
  <c r="BJ90" i="4"/>
  <c r="BI90" i="4"/>
  <c r="BH90" i="4"/>
  <c r="BG90" i="4"/>
  <c r="BF90" i="4"/>
  <c r="BE90" i="4"/>
  <c r="BD90" i="4"/>
  <c r="BB90" i="4"/>
  <c r="BA90" i="4"/>
  <c r="AS90" i="4"/>
  <c r="BO90" i="4" s="1"/>
  <c r="AQ90" i="4"/>
  <c r="BM90" i="4" s="1"/>
  <c r="AG90" i="4"/>
  <c r="H90" i="4"/>
  <c r="AZ90" i="4" s="1"/>
  <c r="DJ89" i="4"/>
  <c r="DI89" i="4"/>
  <c r="DH89" i="4"/>
  <c r="DF89" i="4"/>
  <c r="DE89" i="4"/>
  <c r="DD89" i="4"/>
  <c r="DC89" i="4"/>
  <c r="DB89" i="4"/>
  <c r="DA89" i="4"/>
  <c r="CZ89" i="4"/>
  <c r="CY89" i="4"/>
  <c r="CX89" i="4"/>
  <c r="CW89" i="4"/>
  <c r="CV89" i="4"/>
  <c r="CU89" i="4"/>
  <c r="CT89" i="4"/>
  <c r="CS89" i="4"/>
  <c r="CK89" i="4"/>
  <c r="DG89" i="4" s="1"/>
  <c r="BV89" i="4"/>
  <c r="CR89" i="4" s="1"/>
  <c r="BR89" i="4"/>
  <c r="BQ89" i="4"/>
  <c r="BP89" i="4"/>
  <c r="BN89" i="4"/>
  <c r="BM89" i="4"/>
  <c r="BL89" i="4"/>
  <c r="BK89" i="4"/>
  <c r="BJ89" i="4"/>
  <c r="BI89" i="4"/>
  <c r="BI94" i="4" s="1"/>
  <c r="BH89" i="4"/>
  <c r="BG89" i="4"/>
  <c r="BF89" i="4"/>
  <c r="BE89" i="4"/>
  <c r="BD89" i="4"/>
  <c r="BC89" i="4"/>
  <c r="BB89" i="4"/>
  <c r="BA89" i="4"/>
  <c r="AW89" i="4"/>
  <c r="BS89" i="4" s="1"/>
  <c r="AS89" i="4"/>
  <c r="BO89" i="4" s="1"/>
  <c r="AD89" i="4"/>
  <c r="AZ89" i="4" s="1"/>
  <c r="AA89" i="4"/>
  <c r="G89" i="4" s="1"/>
  <c r="DM89" i="4" s="1"/>
  <c r="DJ88" i="4"/>
  <c r="DI88" i="4"/>
  <c r="DH88" i="4"/>
  <c r="DG88" i="4"/>
  <c r="DF88" i="4"/>
  <c r="DE88" i="4"/>
  <c r="DC88" i="4"/>
  <c r="DB88" i="4"/>
  <c r="DA88" i="4"/>
  <c r="CZ88" i="4"/>
  <c r="CY88" i="4"/>
  <c r="CX88" i="4"/>
  <c r="CW88" i="4"/>
  <c r="CV88" i="4"/>
  <c r="CU88" i="4"/>
  <c r="CT88" i="4"/>
  <c r="CH88" i="4"/>
  <c r="DD88" i="4" s="1"/>
  <c r="BW88" i="4"/>
  <c r="CS88" i="4" s="1"/>
  <c r="BV88" i="4"/>
  <c r="BR88" i="4"/>
  <c r="BQ88" i="4"/>
  <c r="BP88" i="4"/>
  <c r="BO88" i="4"/>
  <c r="BN88" i="4"/>
  <c r="BM88" i="4"/>
  <c r="BK88" i="4"/>
  <c r="BJ88" i="4"/>
  <c r="BI88" i="4"/>
  <c r="BH88" i="4"/>
  <c r="BG88" i="4"/>
  <c r="BF88" i="4"/>
  <c r="BE88" i="4"/>
  <c r="BD88" i="4"/>
  <c r="BC88" i="4"/>
  <c r="BB88" i="4"/>
  <c r="BA88" i="4"/>
  <c r="AZ88" i="4"/>
  <c r="AW88" i="4"/>
  <c r="AP88" i="4"/>
  <c r="BL88" i="4" s="1"/>
  <c r="AE88" i="4"/>
  <c r="AD88" i="4"/>
  <c r="AA88" i="4"/>
  <c r="G88" i="4"/>
  <c r="DM88" i="4" s="1"/>
  <c r="DJ87" i="4"/>
  <c r="DI87" i="4"/>
  <c r="DH87" i="4"/>
  <c r="DG87" i="4"/>
  <c r="DC87" i="4"/>
  <c r="DB87" i="4"/>
  <c r="DB94" i="4" s="1"/>
  <c r="DA87" i="4"/>
  <c r="CZ87" i="4"/>
  <c r="CY87" i="4"/>
  <c r="CX87" i="4"/>
  <c r="CW87" i="4"/>
  <c r="CV87" i="4"/>
  <c r="CU87" i="4"/>
  <c r="CT87" i="4"/>
  <c r="CO87" i="4"/>
  <c r="CJ87" i="4"/>
  <c r="CJ126" i="4" s="1"/>
  <c r="CI87" i="4"/>
  <c r="DE87" i="4" s="1"/>
  <c r="CH87" i="4"/>
  <c r="BW87" i="4"/>
  <c r="CS87" i="4" s="1"/>
  <c r="BV87" i="4"/>
  <c r="CR87" i="4" s="1"/>
  <c r="BR87" i="4"/>
  <c r="BQ87" i="4"/>
  <c r="BP87" i="4"/>
  <c r="BO87" i="4"/>
  <c r="BK87" i="4"/>
  <c r="BJ87" i="4"/>
  <c r="BI87" i="4"/>
  <c r="BH87" i="4"/>
  <c r="BG87" i="4"/>
  <c r="BF87" i="4"/>
  <c r="BE87" i="4"/>
  <c r="BD87" i="4"/>
  <c r="BC87" i="4"/>
  <c r="BB87" i="4"/>
  <c r="AW87" i="4"/>
  <c r="AR87" i="4"/>
  <c r="AR126" i="4" s="1"/>
  <c r="AQ87" i="4"/>
  <c r="BM87" i="4" s="1"/>
  <c r="AP87" i="4"/>
  <c r="AP126" i="4" s="1"/>
  <c r="AE87" i="4"/>
  <c r="BA87" i="4" s="1"/>
  <c r="AD87" i="4"/>
  <c r="AA87" i="4"/>
  <c r="DK86" i="4"/>
  <c r="DJ86" i="4"/>
  <c r="DI86" i="4"/>
  <c r="DH86" i="4"/>
  <c r="DF86" i="4"/>
  <c r="DE86" i="4"/>
  <c r="DD86" i="4"/>
  <c r="DC86" i="4"/>
  <c r="DB86" i="4"/>
  <c r="DA86" i="4"/>
  <c r="CZ86" i="4"/>
  <c r="CY86" i="4"/>
  <c r="CX86" i="4"/>
  <c r="CW86" i="4"/>
  <c r="CV86" i="4"/>
  <c r="CU86" i="4"/>
  <c r="CT86" i="4"/>
  <c r="CS86" i="4"/>
  <c r="CR86" i="4"/>
  <c r="CK86" i="4"/>
  <c r="BU86" i="4" s="1"/>
  <c r="BT86" i="4"/>
  <c r="CP86" i="4" s="1"/>
  <c r="BS86" i="4"/>
  <c r="BR86" i="4"/>
  <c r="BQ86" i="4"/>
  <c r="BP86" i="4"/>
  <c r="BN86" i="4"/>
  <c r="BM86" i="4"/>
  <c r="BL86" i="4"/>
  <c r="BK86" i="4"/>
  <c r="BJ86" i="4"/>
  <c r="BI86" i="4"/>
  <c r="BH86" i="4"/>
  <c r="BG86" i="4"/>
  <c r="BF86" i="4"/>
  <c r="BE86" i="4"/>
  <c r="BD86" i="4"/>
  <c r="BC86" i="4"/>
  <c r="BB86" i="4"/>
  <c r="BA86" i="4"/>
  <c r="AZ86" i="4"/>
  <c r="AS86" i="4"/>
  <c r="AC86" i="4" s="1"/>
  <c r="G86" i="4"/>
  <c r="DM86" i="4" s="1"/>
  <c r="DK85" i="4"/>
  <c r="DJ85" i="4"/>
  <c r="DI85" i="4"/>
  <c r="DH85" i="4"/>
  <c r="DF85" i="4"/>
  <c r="DD85" i="4"/>
  <c r="DC85" i="4"/>
  <c r="DB85" i="4"/>
  <c r="DA85" i="4"/>
  <c r="CZ85" i="4"/>
  <c r="CY85" i="4"/>
  <c r="CX85" i="4"/>
  <c r="CW85" i="4"/>
  <c r="CV85" i="4"/>
  <c r="CU85" i="4"/>
  <c r="CT85" i="4"/>
  <c r="CR85" i="4"/>
  <c r="CK85" i="4"/>
  <c r="DG85" i="4" s="1"/>
  <c r="CI85" i="4"/>
  <c r="DE85" i="4" s="1"/>
  <c r="BW85" i="4"/>
  <c r="CS85" i="4" s="1"/>
  <c r="BS85" i="4"/>
  <c r="BR85" i="4"/>
  <c r="BQ85" i="4"/>
  <c r="BP85" i="4"/>
  <c r="BO85" i="4"/>
  <c r="BN85" i="4"/>
  <c r="BL85" i="4"/>
  <c r="BK85" i="4"/>
  <c r="BJ85" i="4"/>
  <c r="BI85" i="4"/>
  <c r="BH85" i="4"/>
  <c r="BG85" i="4"/>
  <c r="BF85" i="4"/>
  <c r="BE85" i="4"/>
  <c r="BD85" i="4"/>
  <c r="BC85" i="4"/>
  <c r="BB85" i="4"/>
  <c r="AZ85" i="4"/>
  <c r="AS85" i="4"/>
  <c r="AQ85" i="4"/>
  <c r="AE85" i="4"/>
  <c r="G85" i="4"/>
  <c r="DM85" i="4" s="1"/>
  <c r="DK84" i="4"/>
  <c r="DJ84" i="4"/>
  <c r="DI84" i="4"/>
  <c r="DH84" i="4"/>
  <c r="DG84" i="4"/>
  <c r="DF84" i="4"/>
  <c r="DE84" i="4"/>
  <c r="DD84" i="4"/>
  <c r="DC84" i="4"/>
  <c r="DC94" i="4" s="1"/>
  <c r="DB84" i="4"/>
  <c r="DA84" i="4"/>
  <c r="CZ84" i="4"/>
  <c r="CY84" i="4"/>
  <c r="CX84" i="4"/>
  <c r="CW84" i="4"/>
  <c r="CV84" i="4"/>
  <c r="CU84" i="4"/>
  <c r="CT84" i="4"/>
  <c r="CS84" i="4"/>
  <c r="BV84" i="4"/>
  <c r="BU84" i="4" s="1"/>
  <c r="BT84" i="4" s="1"/>
  <c r="CP84" i="4" s="1"/>
  <c r="BS84" i="4"/>
  <c r="BR84" i="4"/>
  <c r="BQ84" i="4"/>
  <c r="BP84" i="4"/>
  <c r="BO84" i="4"/>
  <c r="BN84" i="4"/>
  <c r="BM84" i="4"/>
  <c r="BL84" i="4"/>
  <c r="BK84" i="4"/>
  <c r="BJ84" i="4"/>
  <c r="BI84" i="4"/>
  <c r="BH84" i="4"/>
  <c r="BG84" i="4"/>
  <c r="BF84" i="4"/>
  <c r="BE84" i="4"/>
  <c r="BD84" i="4"/>
  <c r="BC84" i="4"/>
  <c r="BB84" i="4"/>
  <c r="BA84" i="4"/>
  <c r="AD84" i="4"/>
  <c r="AZ84" i="4" s="1"/>
  <c r="G84" i="4"/>
  <c r="DM84" i="4" s="1"/>
  <c r="DJ83" i="4"/>
  <c r="DI83" i="4"/>
  <c r="DH83" i="4"/>
  <c r="DG83" i="4"/>
  <c r="DF83" i="4"/>
  <c r="DE83" i="4"/>
  <c r="DD83" i="4"/>
  <c r="DC83" i="4"/>
  <c r="DB83" i="4"/>
  <c r="DA83" i="4"/>
  <c r="CZ83" i="4"/>
  <c r="CY83" i="4"/>
  <c r="CX83" i="4"/>
  <c r="CW83" i="4"/>
  <c r="CV83" i="4"/>
  <c r="CU83" i="4"/>
  <c r="CT83" i="4"/>
  <c r="CS83" i="4"/>
  <c r="CR83" i="4"/>
  <c r="CO83" i="4"/>
  <c r="BR83" i="4"/>
  <c r="BQ83" i="4"/>
  <c r="BP83" i="4"/>
  <c r="BO83" i="4"/>
  <c r="BN83" i="4"/>
  <c r="BM83" i="4"/>
  <c r="BL83" i="4"/>
  <c r="BK83" i="4"/>
  <c r="BJ83" i="4"/>
  <c r="BI83" i="4"/>
  <c r="BH83" i="4"/>
  <c r="BG83" i="4"/>
  <c r="BF83" i="4"/>
  <c r="BE83" i="4"/>
  <c r="BD83" i="4"/>
  <c r="BC83" i="4"/>
  <c r="BB83" i="4"/>
  <c r="BA83" i="4"/>
  <c r="AZ83" i="4"/>
  <c r="AW83" i="4"/>
  <c r="AC83" i="4" s="1"/>
  <c r="AA83" i="4"/>
  <c r="DK82" i="4"/>
  <c r="DJ82" i="4"/>
  <c r="DI82" i="4"/>
  <c r="DH82" i="4"/>
  <c r="DF82" i="4"/>
  <c r="DE82" i="4"/>
  <c r="DD82" i="4"/>
  <c r="DC82" i="4"/>
  <c r="DB82" i="4"/>
  <c r="DA82" i="4"/>
  <c r="CZ82" i="4"/>
  <c r="CY82" i="4"/>
  <c r="CX82" i="4"/>
  <c r="CW82" i="4"/>
  <c r="CV82" i="4"/>
  <c r="CU82" i="4"/>
  <c r="CT82" i="4"/>
  <c r="CS82" i="4"/>
  <c r="CK82" i="4"/>
  <c r="BV82" i="4"/>
  <c r="CR82" i="4" s="1"/>
  <c r="BS82" i="4"/>
  <c r="BR82" i="4"/>
  <c r="BQ82" i="4"/>
  <c r="BP82" i="4"/>
  <c r="BN82" i="4"/>
  <c r="BM82" i="4"/>
  <c r="BL82" i="4"/>
  <c r="BK82" i="4"/>
  <c r="BJ82" i="4"/>
  <c r="BI82" i="4"/>
  <c r="BH82" i="4"/>
  <c r="BG82" i="4"/>
  <c r="BF82" i="4"/>
  <c r="BE82" i="4"/>
  <c r="BD82" i="4"/>
  <c r="BC82" i="4"/>
  <c r="BB82" i="4"/>
  <c r="BA82" i="4"/>
  <c r="AZ82" i="4"/>
  <c r="AS82" i="4"/>
  <c r="AD82" i="4"/>
  <c r="H82" i="4"/>
  <c r="G82" i="4"/>
  <c r="DM82" i="4" s="1"/>
  <c r="DK81" i="4"/>
  <c r="DJ81" i="4"/>
  <c r="DI81" i="4"/>
  <c r="DH81" i="4"/>
  <c r="DG81" i="4"/>
  <c r="DF81" i="4"/>
  <c r="DE81" i="4"/>
  <c r="DD81" i="4"/>
  <c r="DC81" i="4"/>
  <c r="DB81" i="4"/>
  <c r="DA81" i="4"/>
  <c r="CZ81" i="4"/>
  <c r="CY81" i="4"/>
  <c r="CX81" i="4"/>
  <c r="CW81" i="4"/>
  <c r="CV81" i="4"/>
  <c r="CU81" i="4"/>
  <c r="CT81" i="4"/>
  <c r="CS81" i="4"/>
  <c r="BV81" i="4"/>
  <c r="BU81" i="4" s="1"/>
  <c r="BS81" i="4"/>
  <c r="BR81" i="4"/>
  <c r="BQ81" i="4"/>
  <c r="BP81" i="4"/>
  <c r="BO81" i="4"/>
  <c r="BN81" i="4"/>
  <c r="BM81" i="4"/>
  <c r="BL81" i="4"/>
  <c r="BK81" i="4"/>
  <c r="BJ81" i="4"/>
  <c r="BI81" i="4"/>
  <c r="BH81" i="4"/>
  <c r="BG81" i="4"/>
  <c r="BF81" i="4"/>
  <c r="BE81" i="4"/>
  <c r="BD81" i="4"/>
  <c r="BC81" i="4"/>
  <c r="BB81" i="4"/>
  <c r="BA81" i="4"/>
  <c r="AD81" i="4"/>
  <c r="AC81" i="4" s="1"/>
  <c r="H81" i="4"/>
  <c r="DK80" i="4"/>
  <c r="DJ80" i="4"/>
  <c r="DI80" i="4"/>
  <c r="DH80" i="4"/>
  <c r="DG80" i="4"/>
  <c r="DF80" i="4"/>
  <c r="DE80" i="4"/>
  <c r="DD80" i="4"/>
  <c r="DC80" i="4"/>
  <c r="DB80" i="4"/>
  <c r="DA80" i="4"/>
  <c r="CZ80" i="4"/>
  <c r="CY80" i="4"/>
  <c r="CX80" i="4"/>
  <c r="CW80" i="4"/>
  <c r="CV80" i="4"/>
  <c r="CU80" i="4"/>
  <c r="CT80" i="4"/>
  <c r="BV80" i="4"/>
  <c r="BU80" i="4" s="1"/>
  <c r="BS80" i="4"/>
  <c r="BR80" i="4"/>
  <c r="BQ80" i="4"/>
  <c r="BP80" i="4"/>
  <c r="BO80" i="4"/>
  <c r="BN80" i="4"/>
  <c r="BM80" i="4"/>
  <c r="BL80" i="4"/>
  <c r="BK80" i="4"/>
  <c r="BJ80" i="4"/>
  <c r="BI80" i="4"/>
  <c r="BH80" i="4"/>
  <c r="BG80" i="4"/>
  <c r="BF80" i="4"/>
  <c r="BE80" i="4"/>
  <c r="BD80" i="4"/>
  <c r="BC80" i="4"/>
  <c r="BB80" i="4"/>
  <c r="BA80" i="4"/>
  <c r="AD80" i="4"/>
  <c r="H80" i="4"/>
  <c r="CN79" i="4"/>
  <c r="CM79" i="4"/>
  <c r="CK79" i="4"/>
  <c r="CH79" i="4"/>
  <c r="CF79" i="4"/>
  <c r="CE79" i="4"/>
  <c r="CD79" i="4"/>
  <c r="CC79" i="4"/>
  <c r="CB79" i="4"/>
  <c r="CA79" i="4"/>
  <c r="BZ79" i="4"/>
  <c r="BY79" i="4"/>
  <c r="BX79" i="4"/>
  <c r="BV79" i="4"/>
  <c r="BQ79" i="4"/>
  <c r="AV79" i="4"/>
  <c r="AU79" i="4"/>
  <c r="AT79" i="4"/>
  <c r="AS79" i="4"/>
  <c r="AP79" i="4"/>
  <c r="AN79" i="4"/>
  <c r="AM79" i="4"/>
  <c r="AL79" i="4"/>
  <c r="AK79" i="4"/>
  <c r="AJ79" i="4"/>
  <c r="AI79" i="4"/>
  <c r="AH79" i="4"/>
  <c r="AG79" i="4"/>
  <c r="AF79" i="4"/>
  <c r="AD79" i="4"/>
  <c r="Z79" i="4"/>
  <c r="Y79" i="4"/>
  <c r="X79" i="4"/>
  <c r="W79" i="4"/>
  <c r="U79" i="4"/>
  <c r="T79" i="4"/>
  <c r="S79" i="4"/>
  <c r="R79" i="4"/>
  <c r="Q79" i="4"/>
  <c r="P79" i="4"/>
  <c r="O79" i="4"/>
  <c r="N79" i="4"/>
  <c r="M79" i="4"/>
  <c r="L79" i="4"/>
  <c r="K79" i="4"/>
  <c r="J79" i="4"/>
  <c r="H79" i="4"/>
  <c r="DJ78" i="4"/>
  <c r="DI78" i="4"/>
  <c r="DH78" i="4"/>
  <c r="DG78" i="4"/>
  <c r="DF78" i="4"/>
  <c r="DE78" i="4"/>
  <c r="DD78" i="4"/>
  <c r="DC78" i="4"/>
  <c r="DB78" i="4"/>
  <c r="DA78" i="4"/>
  <c r="CZ78" i="4"/>
  <c r="CY78" i="4"/>
  <c r="CX78" i="4"/>
  <c r="CW78" i="4"/>
  <c r="CV78" i="4"/>
  <c r="CU78" i="4"/>
  <c r="CT78" i="4"/>
  <c r="CS78" i="4"/>
  <c r="CR78" i="4"/>
  <c r="CO78" i="4"/>
  <c r="BU78" i="4" s="1"/>
  <c r="BR78" i="4"/>
  <c r="BQ78" i="4"/>
  <c r="BP78" i="4"/>
  <c r="BO78" i="4"/>
  <c r="BN78" i="4"/>
  <c r="BM78" i="4"/>
  <c r="BL78" i="4"/>
  <c r="BK78" i="4"/>
  <c r="BJ78" i="4"/>
  <c r="BI78" i="4"/>
  <c r="BH78" i="4"/>
  <c r="BG78" i="4"/>
  <c r="BF78" i="4"/>
  <c r="BE78" i="4"/>
  <c r="BD78" i="4"/>
  <c r="BC78" i="4"/>
  <c r="BB78" i="4"/>
  <c r="BA78" i="4"/>
  <c r="AZ78" i="4"/>
  <c r="AW78" i="4"/>
  <c r="AC78" i="4" s="1"/>
  <c r="AA78" i="4"/>
  <c r="G78" i="4"/>
  <c r="DM78" i="4" s="1"/>
  <c r="DJ77" i="4"/>
  <c r="DI77" i="4"/>
  <c r="DH77" i="4"/>
  <c r="DG77" i="4"/>
  <c r="DF77" i="4"/>
  <c r="DD77" i="4"/>
  <c r="DC77" i="4"/>
  <c r="DB77" i="4"/>
  <c r="DA77" i="4"/>
  <c r="CZ77" i="4"/>
  <c r="CY77" i="4"/>
  <c r="CX77" i="4"/>
  <c r="CW77" i="4"/>
  <c r="CV77" i="4"/>
  <c r="CU77" i="4"/>
  <c r="CT77" i="4"/>
  <c r="CS77" i="4"/>
  <c r="CR77" i="4"/>
  <c r="CO77" i="4"/>
  <c r="CI77" i="4"/>
  <c r="DE77" i="4" s="1"/>
  <c r="BW77" i="4"/>
  <c r="BR77" i="4"/>
  <c r="BQ77" i="4"/>
  <c r="BP77" i="4"/>
  <c r="BO77" i="4"/>
  <c r="BL77" i="4"/>
  <c r="BK77" i="4"/>
  <c r="BJ77" i="4"/>
  <c r="BI77" i="4"/>
  <c r="BH77" i="4"/>
  <c r="BG77" i="4"/>
  <c r="BF77" i="4"/>
  <c r="BE77" i="4"/>
  <c r="BD77" i="4"/>
  <c r="BC77" i="4"/>
  <c r="BB77" i="4"/>
  <c r="AZ77" i="4"/>
  <c r="AW77" i="4"/>
  <c r="AR77" i="4"/>
  <c r="BN77" i="4" s="1"/>
  <c r="AQ77" i="4"/>
  <c r="BM77" i="4" s="1"/>
  <c r="AE77" i="4"/>
  <c r="AA77" i="4"/>
  <c r="DK77" i="4" s="1"/>
  <c r="I77" i="4"/>
  <c r="DK76" i="4"/>
  <c r="DJ76" i="4"/>
  <c r="DI76" i="4"/>
  <c r="DH76" i="4"/>
  <c r="DG76" i="4"/>
  <c r="DF76" i="4"/>
  <c r="DE76" i="4"/>
  <c r="DD76" i="4"/>
  <c r="DC76" i="4"/>
  <c r="DB76" i="4"/>
  <c r="DA76" i="4"/>
  <c r="CZ76" i="4"/>
  <c r="CY76" i="4"/>
  <c r="CX76" i="4"/>
  <c r="CW76" i="4"/>
  <c r="CV76" i="4"/>
  <c r="CU76" i="4"/>
  <c r="CT76" i="4"/>
  <c r="CR76" i="4"/>
  <c r="BW76" i="4"/>
  <c r="BS76" i="4"/>
  <c r="BR76" i="4"/>
  <c r="BQ76" i="4"/>
  <c r="BP76" i="4"/>
  <c r="BO76" i="4"/>
  <c r="BN76" i="4"/>
  <c r="BM76" i="4"/>
  <c r="BL76" i="4"/>
  <c r="BK76" i="4"/>
  <c r="BJ76" i="4"/>
  <c r="BI76" i="4"/>
  <c r="BH76" i="4"/>
  <c r="BG76" i="4"/>
  <c r="BF76" i="4"/>
  <c r="BE76" i="4"/>
  <c r="BD76" i="4"/>
  <c r="BC76" i="4"/>
  <c r="BB76" i="4"/>
  <c r="AZ76" i="4"/>
  <c r="AE76" i="4"/>
  <c r="AC76" i="4" s="1"/>
  <c r="AB76" i="4" s="1"/>
  <c r="AX76" i="4" s="1"/>
  <c r="I76" i="4"/>
  <c r="G76" i="4"/>
  <c r="DM76" i="4" s="1"/>
  <c r="DM75" i="4"/>
  <c r="DK75" i="4"/>
  <c r="DJ75" i="4"/>
  <c r="DI75" i="4"/>
  <c r="DH75" i="4"/>
  <c r="DG75" i="4"/>
  <c r="DF75" i="4"/>
  <c r="DE75" i="4"/>
  <c r="DD75" i="4"/>
  <c r="DC75" i="4"/>
  <c r="DB75" i="4"/>
  <c r="DA75" i="4"/>
  <c r="CZ75" i="4"/>
  <c r="CY75" i="4"/>
  <c r="CX75" i="4"/>
  <c r="CW75" i="4"/>
  <c r="CV75" i="4"/>
  <c r="CU75" i="4"/>
  <c r="CT75" i="4"/>
  <c r="CR75" i="4"/>
  <c r="BU75" i="4"/>
  <c r="BT75" i="4" s="1"/>
  <c r="CP75" i="4" s="1"/>
  <c r="BS75" i="4"/>
  <c r="BR75" i="4"/>
  <c r="BQ75" i="4"/>
  <c r="BP75" i="4"/>
  <c r="BO75" i="4"/>
  <c r="BN75" i="4"/>
  <c r="BM75" i="4"/>
  <c r="BL75" i="4"/>
  <c r="BK75" i="4"/>
  <c r="BJ75" i="4"/>
  <c r="BI75" i="4"/>
  <c r="BH75" i="4"/>
  <c r="BG75" i="4"/>
  <c r="BF75" i="4"/>
  <c r="BE75" i="4"/>
  <c r="BD75" i="4"/>
  <c r="BC75" i="4"/>
  <c r="BB75" i="4"/>
  <c r="AZ75" i="4"/>
  <c r="AC75" i="4"/>
  <c r="I75" i="4"/>
  <c r="G75" i="4"/>
  <c r="DK74" i="4"/>
  <c r="DJ74" i="4"/>
  <c r="DI74" i="4"/>
  <c r="DH74" i="4"/>
  <c r="DG74" i="4"/>
  <c r="DF74" i="4"/>
  <c r="DE74" i="4"/>
  <c r="DD74" i="4"/>
  <c r="DC74" i="4"/>
  <c r="DB74" i="4"/>
  <c r="DA74" i="4"/>
  <c r="CZ74" i="4"/>
  <c r="CY74" i="4"/>
  <c r="CX74" i="4"/>
  <c r="CW74" i="4"/>
  <c r="CV74" i="4"/>
  <c r="CU74" i="4"/>
  <c r="CT74" i="4"/>
  <c r="CS74" i="4"/>
  <c r="CR74" i="4"/>
  <c r="CQ74" i="4" s="1"/>
  <c r="BU74" i="4"/>
  <c r="BT74" i="4" s="1"/>
  <c r="CP74" i="4" s="1"/>
  <c r="BS74" i="4"/>
  <c r="BR74" i="4"/>
  <c r="BQ74" i="4"/>
  <c r="BP74" i="4"/>
  <c r="BO74" i="4"/>
  <c r="BN74" i="4"/>
  <c r="BM74" i="4"/>
  <c r="BL74" i="4"/>
  <c r="BK74" i="4"/>
  <c r="BJ74" i="4"/>
  <c r="BI74" i="4"/>
  <c r="BH74" i="4"/>
  <c r="BG74" i="4"/>
  <c r="BF74" i="4"/>
  <c r="BE74" i="4"/>
  <c r="BD74" i="4"/>
  <c r="BC74" i="4"/>
  <c r="BB74" i="4"/>
  <c r="BA74" i="4"/>
  <c r="AZ74" i="4"/>
  <c r="AY74" i="4"/>
  <c r="DN74" i="4" s="1"/>
  <c r="AC74" i="4"/>
  <c r="AB74" i="4"/>
  <c r="AX74" i="4" s="1"/>
  <c r="G74" i="4"/>
  <c r="DM74" i="4" s="1"/>
  <c r="DM73" i="4"/>
  <c r="DK73" i="4"/>
  <c r="DJ73" i="4"/>
  <c r="DI73" i="4"/>
  <c r="DH73" i="4"/>
  <c r="DG73" i="4"/>
  <c r="DF73" i="4"/>
  <c r="DE73" i="4"/>
  <c r="DD73" i="4"/>
  <c r="DC73" i="4"/>
  <c r="DB73" i="4"/>
  <c r="DA73" i="4"/>
  <c r="CZ73" i="4"/>
  <c r="CY73" i="4"/>
  <c r="CX73" i="4"/>
  <c r="CW73" i="4"/>
  <c r="CV73" i="4"/>
  <c r="CU73" i="4"/>
  <c r="CT73" i="4"/>
  <c r="CS73" i="4"/>
  <c r="CR73" i="4"/>
  <c r="CQ73" i="4" s="1"/>
  <c r="DO73" i="4" s="1"/>
  <c r="BU73" i="4"/>
  <c r="BT73" i="4" s="1"/>
  <c r="CP73" i="4" s="1"/>
  <c r="BS73" i="4"/>
  <c r="BR73" i="4"/>
  <c r="BQ73" i="4"/>
  <c r="BP73" i="4"/>
  <c r="BO73" i="4"/>
  <c r="BN73" i="4"/>
  <c r="BM73" i="4"/>
  <c r="BL73" i="4"/>
  <c r="BK73" i="4"/>
  <c r="BJ73" i="4"/>
  <c r="BI73" i="4"/>
  <c r="BH73" i="4"/>
  <c r="BG73" i="4"/>
  <c r="BF73" i="4"/>
  <c r="BE73" i="4"/>
  <c r="BD73" i="4"/>
  <c r="BC73" i="4"/>
  <c r="BB73" i="4"/>
  <c r="AZ73" i="4"/>
  <c r="AE73" i="4"/>
  <c r="AC73" i="4" s="1"/>
  <c r="AB73" i="4" s="1"/>
  <c r="AX73" i="4" s="1"/>
  <c r="G73" i="4"/>
  <c r="DM72" i="4"/>
  <c r="DK72" i="4"/>
  <c r="DJ72" i="4"/>
  <c r="DI72" i="4"/>
  <c r="DH72" i="4"/>
  <c r="DG72" i="4"/>
  <c r="DF72" i="4"/>
  <c r="DD72" i="4"/>
  <c r="DC72" i="4"/>
  <c r="DB72" i="4"/>
  <c r="DA72" i="4"/>
  <c r="CZ72" i="4"/>
  <c r="CY72" i="4"/>
  <c r="CX72" i="4"/>
  <c r="CW72" i="4"/>
  <c r="CV72" i="4"/>
  <c r="CU72" i="4"/>
  <c r="CT72" i="4"/>
  <c r="CR72" i="4"/>
  <c r="CI72" i="4"/>
  <c r="DE72" i="4" s="1"/>
  <c r="BW72" i="4"/>
  <c r="BS72" i="4"/>
  <c r="BR72" i="4"/>
  <c r="BQ72" i="4"/>
  <c r="BP72" i="4"/>
  <c r="BO72" i="4"/>
  <c r="BN72" i="4"/>
  <c r="BL72" i="4"/>
  <c r="BK72" i="4"/>
  <c r="BJ72" i="4"/>
  <c r="BI72" i="4"/>
  <c r="BH72" i="4"/>
  <c r="BG72" i="4"/>
  <c r="BF72" i="4"/>
  <c r="BE72" i="4"/>
  <c r="BD72" i="4"/>
  <c r="BC72" i="4"/>
  <c r="BB72" i="4"/>
  <c r="AZ72" i="4"/>
  <c r="AQ72" i="4"/>
  <c r="AE72" i="4"/>
  <c r="G72" i="4"/>
  <c r="DN71" i="4"/>
  <c r="DK71" i="4"/>
  <c r="CQ71" i="4" s="1"/>
  <c r="DO71" i="4" s="1"/>
  <c r="BU71" i="4"/>
  <c r="BS71" i="4"/>
  <c r="AY71" i="4"/>
  <c r="AX71" i="4"/>
  <c r="AC71" i="4"/>
  <c r="AB71" i="4"/>
  <c r="G71" i="4"/>
  <c r="DM71" i="4" s="1"/>
  <c r="DK70" i="4"/>
  <c r="DJ70" i="4"/>
  <c r="DI70" i="4"/>
  <c r="DH70" i="4"/>
  <c r="DG70" i="4"/>
  <c r="DF70" i="4"/>
  <c r="DE70" i="4"/>
  <c r="DD70" i="4"/>
  <c r="DC70" i="4"/>
  <c r="DB70" i="4"/>
  <c r="DA70" i="4"/>
  <c r="CZ70" i="4"/>
  <c r="CY70" i="4"/>
  <c r="CX70" i="4"/>
  <c r="CW70" i="4"/>
  <c r="CV70" i="4"/>
  <c r="CU70" i="4"/>
  <c r="CT70" i="4"/>
  <c r="CR70" i="4"/>
  <c r="BW70" i="4"/>
  <c r="CS70" i="4" s="1"/>
  <c r="CQ70" i="4" s="1"/>
  <c r="BS70" i="4"/>
  <c r="BR70" i="4"/>
  <c r="BQ70" i="4"/>
  <c r="BP70" i="4"/>
  <c r="BO70" i="4"/>
  <c r="BN70" i="4"/>
  <c r="BM70" i="4"/>
  <c r="BL70" i="4"/>
  <c r="BK70" i="4"/>
  <c r="BJ70" i="4"/>
  <c r="BI70" i="4"/>
  <c r="BH70" i="4"/>
  <c r="BG70" i="4"/>
  <c r="BF70" i="4"/>
  <c r="BE70" i="4"/>
  <c r="BD70" i="4"/>
  <c r="BC70" i="4"/>
  <c r="BB70" i="4"/>
  <c r="AZ70" i="4"/>
  <c r="AE70" i="4"/>
  <c r="G70" i="4"/>
  <c r="DM70" i="4" s="1"/>
  <c r="DM69" i="4"/>
  <c r="DK69" i="4"/>
  <c r="DJ69" i="4"/>
  <c r="DI69" i="4"/>
  <c r="DH69" i="4"/>
  <c r="DG69" i="4"/>
  <c r="DF69" i="4"/>
  <c r="DE69" i="4"/>
  <c r="DD69" i="4"/>
  <c r="DC69" i="4"/>
  <c r="DB69" i="4"/>
  <c r="DA69" i="4"/>
  <c r="CZ69" i="4"/>
  <c r="CY69" i="4"/>
  <c r="CX69" i="4"/>
  <c r="CW69" i="4"/>
  <c r="CV69" i="4"/>
  <c r="CU69" i="4"/>
  <c r="CT69" i="4"/>
  <c r="CR69" i="4"/>
  <c r="BW69" i="4"/>
  <c r="CS69" i="4" s="1"/>
  <c r="CQ69" i="4" s="1"/>
  <c r="BU69" i="4"/>
  <c r="BS69" i="4"/>
  <c r="BR69" i="4"/>
  <c r="BQ69" i="4"/>
  <c r="BP69" i="4"/>
  <c r="BO69" i="4"/>
  <c r="BN69" i="4"/>
  <c r="BM69" i="4"/>
  <c r="BL69" i="4"/>
  <c r="BK69" i="4"/>
  <c r="BJ69" i="4"/>
  <c r="BI69" i="4"/>
  <c r="BH69" i="4"/>
  <c r="BG69" i="4"/>
  <c r="BF69" i="4"/>
  <c r="BE69" i="4"/>
  <c r="BD69" i="4"/>
  <c r="BC69" i="4"/>
  <c r="BB69" i="4"/>
  <c r="AZ69" i="4"/>
  <c r="AE69" i="4"/>
  <c r="AC69" i="4" s="1"/>
  <c r="AB69" i="4" s="1"/>
  <c r="AX69" i="4" s="1"/>
  <c r="G69" i="4"/>
  <c r="DM68" i="4"/>
  <c r="DK68" i="4"/>
  <c r="DJ68" i="4"/>
  <c r="DI68" i="4"/>
  <c r="DH68" i="4"/>
  <c r="DG68" i="4"/>
  <c r="DF68" i="4"/>
  <c r="DE68" i="4"/>
  <c r="DD68" i="4"/>
  <c r="DC68" i="4"/>
  <c r="DB68" i="4"/>
  <c r="DA68" i="4"/>
  <c r="CZ68" i="4"/>
  <c r="CY68" i="4"/>
  <c r="CX68" i="4"/>
  <c r="CW68" i="4"/>
  <c r="CV68" i="4"/>
  <c r="CU68" i="4"/>
  <c r="CT68" i="4"/>
  <c r="CR68" i="4"/>
  <c r="BW68" i="4"/>
  <c r="BS68" i="4"/>
  <c r="BR68" i="4"/>
  <c r="BQ68" i="4"/>
  <c r="BP68" i="4"/>
  <c r="BO68" i="4"/>
  <c r="BN68" i="4"/>
  <c r="BM68" i="4"/>
  <c r="BL68" i="4"/>
  <c r="BK68" i="4"/>
  <c r="BJ68" i="4"/>
  <c r="BI68" i="4"/>
  <c r="BH68" i="4"/>
  <c r="BG68" i="4"/>
  <c r="BF68" i="4"/>
  <c r="BE68" i="4"/>
  <c r="BD68" i="4"/>
  <c r="BC68" i="4"/>
  <c r="BB68" i="4"/>
  <c r="AZ68" i="4"/>
  <c r="AE68" i="4"/>
  <c r="AC68" i="4" s="1"/>
  <c r="AB68" i="4" s="1"/>
  <c r="AX68" i="4" s="1"/>
  <c r="G68" i="4"/>
  <c r="DJ67" i="4"/>
  <c r="DI67" i="4"/>
  <c r="DH67" i="4"/>
  <c r="DG67" i="4"/>
  <c r="DE67" i="4"/>
  <c r="DD67" i="4"/>
  <c r="DC67" i="4"/>
  <c r="DB67" i="4"/>
  <c r="DA67" i="4"/>
  <c r="CZ67" i="4"/>
  <c r="CY67" i="4"/>
  <c r="CX67" i="4"/>
  <c r="CW67" i="4"/>
  <c r="CV67" i="4"/>
  <c r="CU67" i="4"/>
  <c r="CT67" i="4"/>
  <c r="CS67" i="4"/>
  <c r="CR67" i="4"/>
  <c r="CJ67" i="4"/>
  <c r="BR67" i="4"/>
  <c r="BQ67" i="4"/>
  <c r="BP67" i="4"/>
  <c r="BO67" i="4"/>
  <c r="BM67" i="4"/>
  <c r="BL67" i="4"/>
  <c r="BK67" i="4"/>
  <c r="BJ67" i="4"/>
  <c r="BI67" i="4"/>
  <c r="BH67" i="4"/>
  <c r="BG67" i="4"/>
  <c r="BF67" i="4"/>
  <c r="BE67" i="4"/>
  <c r="BD67" i="4"/>
  <c r="BC67" i="4"/>
  <c r="BB67" i="4"/>
  <c r="BA67" i="4"/>
  <c r="AZ67" i="4"/>
  <c r="AW67" i="4"/>
  <c r="BS67" i="4" s="1"/>
  <c r="AR67" i="4"/>
  <c r="BN67" i="4" s="1"/>
  <c r="AA67" i="4"/>
  <c r="G67" i="4"/>
  <c r="DM67" i="4" s="1"/>
  <c r="DM66" i="4"/>
  <c r="DK66" i="4"/>
  <c r="DJ66" i="4"/>
  <c r="DI66" i="4"/>
  <c r="DH66" i="4"/>
  <c r="DG66" i="4"/>
  <c r="DF66" i="4"/>
  <c r="DE66" i="4"/>
  <c r="DD66" i="4"/>
  <c r="DC66" i="4"/>
  <c r="DB66" i="4"/>
  <c r="DA66" i="4"/>
  <c r="CZ66" i="4"/>
  <c r="CY66" i="4"/>
  <c r="CX66" i="4"/>
  <c r="CW66" i="4"/>
  <c r="CV66" i="4"/>
  <c r="CU66" i="4"/>
  <c r="CT66" i="4"/>
  <c r="CR66" i="4"/>
  <c r="BW66" i="4"/>
  <c r="CS66" i="4" s="1"/>
  <c r="BU66" i="4"/>
  <c r="BS66" i="4"/>
  <c r="BR66" i="4"/>
  <c r="BQ66" i="4"/>
  <c r="BP66" i="4"/>
  <c r="BO66" i="4"/>
  <c r="BN66" i="4"/>
  <c r="BM66" i="4"/>
  <c r="BL66" i="4"/>
  <c r="BK66" i="4"/>
  <c r="BJ66" i="4"/>
  <c r="BI66" i="4"/>
  <c r="BH66" i="4"/>
  <c r="BG66" i="4"/>
  <c r="BF66" i="4"/>
  <c r="BE66" i="4"/>
  <c r="BE79" i="4" s="1"/>
  <c r="BD66" i="4"/>
  <c r="BC66" i="4"/>
  <c r="BB66" i="4"/>
  <c r="AZ66" i="4"/>
  <c r="AY66" i="4" s="1"/>
  <c r="AE66" i="4"/>
  <c r="BA66" i="4" s="1"/>
  <c r="G66" i="4"/>
  <c r="DM65" i="4"/>
  <c r="DJ65" i="4"/>
  <c r="DI65" i="4"/>
  <c r="DH65" i="4"/>
  <c r="DG65" i="4"/>
  <c r="DE65" i="4"/>
  <c r="DD65" i="4"/>
  <c r="DC65" i="4"/>
  <c r="DB65" i="4"/>
  <c r="DA65" i="4"/>
  <c r="CZ65" i="4"/>
  <c r="CY65" i="4"/>
  <c r="CX65" i="4"/>
  <c r="CW65" i="4"/>
  <c r="CV65" i="4"/>
  <c r="CU65" i="4"/>
  <c r="CT65" i="4"/>
  <c r="CS65" i="4"/>
  <c r="CR65" i="4"/>
  <c r="CO65" i="4"/>
  <c r="DK65" i="4" s="1"/>
  <c r="CJ65" i="4"/>
  <c r="DF65" i="4" s="1"/>
  <c r="BR65" i="4"/>
  <c r="BQ65" i="4"/>
  <c r="BP65" i="4"/>
  <c r="BO65" i="4"/>
  <c r="BM65" i="4"/>
  <c r="BL65" i="4"/>
  <c r="BK65" i="4"/>
  <c r="BJ65" i="4"/>
  <c r="BI65" i="4"/>
  <c r="BH65" i="4"/>
  <c r="BG65" i="4"/>
  <c r="BF65" i="4"/>
  <c r="BE65" i="4"/>
  <c r="BD65" i="4"/>
  <c r="BC65" i="4"/>
  <c r="BB65" i="4"/>
  <c r="BA65" i="4"/>
  <c r="AZ65" i="4"/>
  <c r="AW65" i="4"/>
  <c r="BS65" i="4" s="1"/>
  <c r="AR65" i="4"/>
  <c r="BN65" i="4" s="1"/>
  <c r="AA65" i="4"/>
  <c r="G65" i="4" s="1"/>
  <c r="DJ64" i="4"/>
  <c r="DI64" i="4"/>
  <c r="DH64" i="4"/>
  <c r="DG64" i="4"/>
  <c r="DE64" i="4"/>
  <c r="DD64" i="4"/>
  <c r="DC64" i="4"/>
  <c r="DB64" i="4"/>
  <c r="DA64" i="4"/>
  <c r="CZ64" i="4"/>
  <c r="CY64" i="4"/>
  <c r="CX64" i="4"/>
  <c r="CW64" i="4"/>
  <c r="CV64" i="4"/>
  <c r="CU64" i="4"/>
  <c r="CT64" i="4"/>
  <c r="CS64" i="4"/>
  <c r="CR64" i="4"/>
  <c r="CO64" i="4"/>
  <c r="DK64" i="4" s="1"/>
  <c r="CJ64" i="4"/>
  <c r="DF64" i="4" s="1"/>
  <c r="BS64" i="4"/>
  <c r="BR64" i="4"/>
  <c r="BQ64" i="4"/>
  <c r="BP64" i="4"/>
  <c r="BO64" i="4"/>
  <c r="BM64" i="4"/>
  <c r="BL64" i="4"/>
  <c r="BK64" i="4"/>
  <c r="BJ64" i="4"/>
  <c r="BI64" i="4"/>
  <c r="BH64" i="4"/>
  <c r="BG64" i="4"/>
  <c r="BF64" i="4"/>
  <c r="BE64" i="4"/>
  <c r="BD64" i="4"/>
  <c r="BC64" i="4"/>
  <c r="BB64" i="4"/>
  <c r="BA64" i="4"/>
  <c r="AZ64" i="4"/>
  <c r="AW64" i="4"/>
  <c r="AR64" i="4"/>
  <c r="BN64" i="4" s="1"/>
  <c r="AC64" i="4"/>
  <c r="AB64" i="4"/>
  <c r="AX64" i="4" s="1"/>
  <c r="AA64" i="4"/>
  <c r="V64" i="4"/>
  <c r="G64" i="4" s="1"/>
  <c r="DM64" i="4" s="1"/>
  <c r="DK63" i="4"/>
  <c r="DJ63" i="4"/>
  <c r="DI63" i="4"/>
  <c r="DH63" i="4"/>
  <c r="DG63" i="4"/>
  <c r="DF63" i="4"/>
  <c r="DE63" i="4"/>
  <c r="DD63" i="4"/>
  <c r="DB63" i="4"/>
  <c r="DA63" i="4"/>
  <c r="CZ63" i="4"/>
  <c r="CY63" i="4"/>
  <c r="CX63" i="4"/>
  <c r="CW63" i="4"/>
  <c r="CV63" i="4"/>
  <c r="CU63" i="4"/>
  <c r="CT63" i="4"/>
  <c r="CS63" i="4"/>
  <c r="CR63" i="4"/>
  <c r="CG63" i="4"/>
  <c r="CG123" i="4" s="1"/>
  <c r="BS63" i="4"/>
  <c r="BR63" i="4"/>
  <c r="BQ63" i="4"/>
  <c r="BP63" i="4"/>
  <c r="BO63" i="4"/>
  <c r="BN63" i="4"/>
  <c r="BM63" i="4"/>
  <c r="BL63" i="4"/>
  <c r="BJ63" i="4"/>
  <c r="BI63" i="4"/>
  <c r="BH63" i="4"/>
  <c r="BG63" i="4"/>
  <c r="BF63" i="4"/>
  <c r="BE63" i="4"/>
  <c r="BD63" i="4"/>
  <c r="BC63" i="4"/>
  <c r="BB63" i="4"/>
  <c r="BA63" i="4"/>
  <c r="AZ63" i="4"/>
  <c r="AO63" i="4"/>
  <c r="AO123" i="4" s="1"/>
  <c r="AA63" i="4"/>
  <c r="S63" i="4"/>
  <c r="S123" i="4" s="1"/>
  <c r="G63" i="4"/>
  <c r="DK62" i="4"/>
  <c r="DJ62" i="4"/>
  <c r="DI62" i="4"/>
  <c r="DH62" i="4"/>
  <c r="DG62" i="4"/>
  <c r="DE62" i="4"/>
  <c r="DD62" i="4"/>
  <c r="DC62" i="4"/>
  <c r="DB62" i="4"/>
  <c r="DA62" i="4"/>
  <c r="CZ62" i="4"/>
  <c r="CY62" i="4"/>
  <c r="CX62" i="4"/>
  <c r="CW62" i="4"/>
  <c r="CV62" i="4"/>
  <c r="CU62" i="4"/>
  <c r="CT62" i="4"/>
  <c r="CS62" i="4"/>
  <c r="CR62" i="4"/>
  <c r="CJ62" i="4"/>
  <c r="BU62" i="4" s="1"/>
  <c r="BT62" i="4"/>
  <c r="CP62" i="4" s="1"/>
  <c r="BS62" i="4"/>
  <c r="BR62" i="4"/>
  <c r="BQ62" i="4"/>
  <c r="BP62" i="4"/>
  <c r="BO62" i="4"/>
  <c r="BM62" i="4"/>
  <c r="BL62" i="4"/>
  <c r="BK62" i="4"/>
  <c r="BJ62" i="4"/>
  <c r="BI62" i="4"/>
  <c r="BH62" i="4"/>
  <c r="BG62" i="4"/>
  <c r="BF62" i="4"/>
  <c r="BE62" i="4"/>
  <c r="BD62" i="4"/>
  <c r="BC62" i="4"/>
  <c r="BB62" i="4"/>
  <c r="BA62" i="4"/>
  <c r="AZ62" i="4"/>
  <c r="AR62" i="4"/>
  <c r="BN62" i="4" s="1"/>
  <c r="AY62" i="4" s="1"/>
  <c r="AC62" i="4"/>
  <c r="AB62" i="4" s="1"/>
  <c r="AX62" i="4" s="1"/>
  <c r="V62" i="4"/>
  <c r="G62" i="4"/>
  <c r="DM62" i="4" s="1"/>
  <c r="DJ61" i="4"/>
  <c r="DI61" i="4"/>
  <c r="DH61" i="4"/>
  <c r="DG61" i="4"/>
  <c r="DE61" i="4"/>
  <c r="DD61" i="4"/>
  <c r="DC61" i="4"/>
  <c r="DB61" i="4"/>
  <c r="DA61" i="4"/>
  <c r="CZ61" i="4"/>
  <c r="CY61" i="4"/>
  <c r="CX61" i="4"/>
  <c r="CW61" i="4"/>
  <c r="CV61" i="4"/>
  <c r="CU61" i="4"/>
  <c r="CT61" i="4"/>
  <c r="CR61" i="4"/>
  <c r="BW61" i="4"/>
  <c r="CS61" i="4" s="1"/>
  <c r="BS61" i="4"/>
  <c r="BR61" i="4"/>
  <c r="BQ61" i="4"/>
  <c r="BP61" i="4"/>
  <c r="BO61" i="4"/>
  <c r="BM61" i="4"/>
  <c r="BL61" i="4"/>
  <c r="BK61" i="4"/>
  <c r="BJ61" i="4"/>
  <c r="BI61" i="4"/>
  <c r="BH61" i="4"/>
  <c r="BG61" i="4"/>
  <c r="BF61" i="4"/>
  <c r="BE61" i="4"/>
  <c r="BD61" i="4"/>
  <c r="BC61" i="4"/>
  <c r="BB61" i="4"/>
  <c r="AZ61" i="4"/>
  <c r="AR61" i="4"/>
  <c r="AE61" i="4"/>
  <c r="AC61" i="4" s="1"/>
  <c r="AA61" i="4"/>
  <c r="DK61" i="4" s="1"/>
  <c r="V61" i="4"/>
  <c r="G61" i="4" s="1"/>
  <c r="DM61" i="4" s="1"/>
  <c r="DJ60" i="4"/>
  <c r="DI60" i="4"/>
  <c r="DH60" i="4"/>
  <c r="DG60" i="4"/>
  <c r="DF60" i="4"/>
  <c r="DE60" i="4"/>
  <c r="DD60" i="4"/>
  <c r="DC60" i="4"/>
  <c r="DB60" i="4"/>
  <c r="DA60" i="4"/>
  <c r="CZ60" i="4"/>
  <c r="CY60" i="4"/>
  <c r="CX60" i="4"/>
  <c r="CW60" i="4"/>
  <c r="CV60" i="4"/>
  <c r="CU60" i="4"/>
  <c r="CT60" i="4"/>
  <c r="CS60" i="4"/>
  <c r="CR60" i="4"/>
  <c r="CO60" i="4"/>
  <c r="BU60" i="4" s="1"/>
  <c r="BR60" i="4"/>
  <c r="BQ60" i="4"/>
  <c r="BP60" i="4"/>
  <c r="BO60" i="4"/>
  <c r="BN60" i="4"/>
  <c r="BM60" i="4"/>
  <c r="BL60" i="4"/>
  <c r="BK60" i="4"/>
  <c r="BJ60" i="4"/>
  <c r="BI60" i="4"/>
  <c r="BH60" i="4"/>
  <c r="BH79" i="4" s="1"/>
  <c r="BG60" i="4"/>
  <c r="BF60" i="4"/>
  <c r="BE60" i="4"/>
  <c r="BD60" i="4"/>
  <c r="BC60" i="4"/>
  <c r="BB60" i="4"/>
  <c r="BA60" i="4"/>
  <c r="AZ60" i="4"/>
  <c r="AW60" i="4"/>
  <c r="AC60" i="4" s="1"/>
  <c r="AA60" i="4"/>
  <c r="G60" i="4"/>
  <c r="DM60" i="4" s="1"/>
  <c r="DK59" i="4"/>
  <c r="DJ59" i="4"/>
  <c r="DI59" i="4"/>
  <c r="DH59" i="4"/>
  <c r="DG59" i="4"/>
  <c r="DF59" i="4"/>
  <c r="DE59" i="4"/>
  <c r="DD59" i="4"/>
  <c r="DC59" i="4"/>
  <c r="DB59" i="4"/>
  <c r="DA59" i="4"/>
  <c r="CZ59" i="4"/>
  <c r="CY59" i="4"/>
  <c r="CX59" i="4"/>
  <c r="CW59" i="4"/>
  <c r="CV59" i="4"/>
  <c r="CU59" i="4"/>
  <c r="CT59" i="4"/>
  <c r="CQ59" i="4" s="1"/>
  <c r="CS59" i="4"/>
  <c r="CR59" i="4"/>
  <c r="BU59" i="4"/>
  <c r="BR59" i="4"/>
  <c r="BQ59" i="4"/>
  <c r="BP59" i="4"/>
  <c r="BO59" i="4"/>
  <c r="BN59" i="4"/>
  <c r="BM59" i="4"/>
  <c r="BL59" i="4"/>
  <c r="BK59" i="4"/>
  <c r="BJ59" i="4"/>
  <c r="BI59" i="4"/>
  <c r="BH59" i="4"/>
  <c r="BH123" i="4" s="1"/>
  <c r="BG59" i="4"/>
  <c r="BF59" i="4"/>
  <c r="BE59" i="4"/>
  <c r="BD59" i="4"/>
  <c r="BC59" i="4"/>
  <c r="BB59" i="4"/>
  <c r="BA59" i="4"/>
  <c r="AZ59" i="4"/>
  <c r="AC59" i="4"/>
  <c r="AA59" i="4"/>
  <c r="BS59" i="4" s="1"/>
  <c r="DJ58" i="4"/>
  <c r="DI58" i="4"/>
  <c r="DH58" i="4"/>
  <c r="DG58" i="4"/>
  <c r="DF58" i="4"/>
  <c r="DE58" i="4"/>
  <c r="DD58" i="4"/>
  <c r="DC58" i="4"/>
  <c r="DB58" i="4"/>
  <c r="DB79" i="4" s="1"/>
  <c r="DA58" i="4"/>
  <c r="CZ58" i="4"/>
  <c r="CY58" i="4"/>
  <c r="CX58" i="4"/>
  <c r="CW58" i="4"/>
  <c r="CW123" i="4" s="1"/>
  <c r="CV58" i="4"/>
  <c r="CU58" i="4"/>
  <c r="CT58" i="4"/>
  <c r="CR58" i="4"/>
  <c r="BW58" i="4"/>
  <c r="CO58" i="4" s="1"/>
  <c r="BR58" i="4"/>
  <c r="BQ58" i="4"/>
  <c r="BP58" i="4"/>
  <c r="BO58" i="4"/>
  <c r="BN58" i="4"/>
  <c r="BM58" i="4"/>
  <c r="BL58" i="4"/>
  <c r="BK58" i="4"/>
  <c r="BJ58" i="4"/>
  <c r="BI58" i="4"/>
  <c r="BH58" i="4"/>
  <c r="BG58" i="4"/>
  <c r="BF58" i="4"/>
  <c r="BF79" i="4" s="1"/>
  <c r="BE58" i="4"/>
  <c r="BD58" i="4"/>
  <c r="BC58" i="4"/>
  <c r="BB58" i="4"/>
  <c r="AZ58" i="4"/>
  <c r="AW58" i="4"/>
  <c r="AE58" i="4"/>
  <c r="BA58" i="4" s="1"/>
  <c r="AA58" i="4"/>
  <c r="CN57" i="4"/>
  <c r="CM57" i="4"/>
  <c r="CK57" i="4"/>
  <c r="CI57" i="4"/>
  <c r="CH57" i="4"/>
  <c r="CF57" i="4"/>
  <c r="CE57" i="4"/>
  <c r="CD57" i="4"/>
  <c r="CC57" i="4"/>
  <c r="CB57" i="4"/>
  <c r="CA57" i="4"/>
  <c r="BZ57" i="4"/>
  <c r="BV57" i="4"/>
  <c r="BO57" i="4"/>
  <c r="AV57" i="4"/>
  <c r="AU57" i="4"/>
  <c r="AS57" i="4"/>
  <c r="AQ57" i="4"/>
  <c r="AP57" i="4"/>
  <c r="AO57" i="4"/>
  <c r="AN57" i="4"/>
  <c r="AM57" i="4"/>
  <c r="AL57" i="4"/>
  <c r="AK57" i="4"/>
  <c r="AJ57" i="4"/>
  <c r="AI57" i="4"/>
  <c r="AH57" i="4"/>
  <c r="AD57" i="4"/>
  <c r="Z57" i="4"/>
  <c r="Y57" i="4"/>
  <c r="W57" i="4"/>
  <c r="U57" i="4"/>
  <c r="T57" i="4"/>
  <c r="R57" i="4"/>
  <c r="Q57" i="4"/>
  <c r="P57" i="4"/>
  <c r="O57" i="4"/>
  <c r="N57" i="4"/>
  <c r="M57" i="4"/>
  <c r="L57" i="4"/>
  <c r="J57" i="4"/>
  <c r="H57" i="4"/>
  <c r="DJ56" i="4"/>
  <c r="DI56" i="4"/>
  <c r="DH56" i="4"/>
  <c r="DG56" i="4"/>
  <c r="DF56" i="4"/>
  <c r="DE56" i="4"/>
  <c r="DD56" i="4"/>
  <c r="DC56" i="4"/>
  <c r="DB56" i="4"/>
  <c r="DA56" i="4"/>
  <c r="CZ56" i="4"/>
  <c r="CY56" i="4"/>
  <c r="CX56" i="4"/>
  <c r="CW56" i="4"/>
  <c r="CV56" i="4"/>
  <c r="CU56" i="4"/>
  <c r="CT56" i="4"/>
  <c r="CS56" i="4"/>
  <c r="CR56" i="4"/>
  <c r="CO56" i="4"/>
  <c r="BU56" i="4" s="1"/>
  <c r="BR56" i="4"/>
  <c r="BQ56" i="4"/>
  <c r="BP56" i="4"/>
  <c r="BO56" i="4"/>
  <c r="BN56" i="4"/>
  <c r="BM56" i="4"/>
  <c r="BL56" i="4"/>
  <c r="BK56" i="4"/>
  <c r="BJ56" i="4"/>
  <c r="BI56" i="4"/>
  <c r="BH56" i="4"/>
  <c r="BG56" i="4"/>
  <c r="BF56" i="4"/>
  <c r="BE56" i="4"/>
  <c r="BD56" i="4"/>
  <c r="BC56" i="4"/>
  <c r="BB56" i="4"/>
  <c r="BA56" i="4"/>
  <c r="AZ56" i="4"/>
  <c r="AW56" i="4"/>
  <c r="AC56" i="4" s="1"/>
  <c r="AA56" i="4"/>
  <c r="DK56" i="4" s="1"/>
  <c r="G56" i="4"/>
  <c r="DM56" i="4" s="1"/>
  <c r="DM55" i="4"/>
  <c r="DK55" i="4"/>
  <c r="DJ55" i="4"/>
  <c r="DI55" i="4"/>
  <c r="DH55" i="4"/>
  <c r="DG55" i="4"/>
  <c r="DF55" i="4"/>
  <c r="DE55" i="4"/>
  <c r="DD55" i="4"/>
  <c r="DC55" i="4"/>
  <c r="DB55" i="4"/>
  <c r="DA55" i="4"/>
  <c r="CZ55" i="4"/>
  <c r="CY55" i="4"/>
  <c r="CX55" i="4"/>
  <c r="CW55" i="4"/>
  <c r="CV55" i="4"/>
  <c r="CT55" i="4"/>
  <c r="CR55" i="4"/>
  <c r="BW55" i="4"/>
  <c r="BS55" i="4"/>
  <c r="BR55" i="4"/>
  <c r="BQ55" i="4"/>
  <c r="BP55" i="4"/>
  <c r="BO55" i="4"/>
  <c r="BN55" i="4"/>
  <c r="BM55" i="4"/>
  <c r="BL55" i="4"/>
  <c r="BK55" i="4"/>
  <c r="BJ55" i="4"/>
  <c r="BI55" i="4"/>
  <c r="BH55" i="4"/>
  <c r="BG55" i="4"/>
  <c r="BF55" i="4"/>
  <c r="BE55" i="4"/>
  <c r="BD55" i="4"/>
  <c r="BB55" i="4"/>
  <c r="AZ55" i="4"/>
  <c r="AG55" i="4"/>
  <c r="AG121" i="4" s="1"/>
  <c r="AE55" i="4"/>
  <c r="BA55" i="4" s="1"/>
  <c r="K55" i="4"/>
  <c r="I55" i="4"/>
  <c r="G55" i="4"/>
  <c r="DK54" i="4"/>
  <c r="DJ54" i="4"/>
  <c r="DI54" i="4"/>
  <c r="DH54" i="4"/>
  <c r="DG54" i="4"/>
  <c r="DF54" i="4"/>
  <c r="DE54" i="4"/>
  <c r="DD54" i="4"/>
  <c r="DC54" i="4"/>
  <c r="DB54" i="4"/>
  <c r="DA54" i="4"/>
  <c r="CZ54" i="4"/>
  <c r="CY54" i="4"/>
  <c r="CX54" i="4"/>
  <c r="CW54" i="4"/>
  <c r="CV54" i="4"/>
  <c r="CU54" i="4"/>
  <c r="CT54" i="4"/>
  <c r="CR54" i="4"/>
  <c r="BW54" i="4"/>
  <c r="BU54" i="4" s="1"/>
  <c r="BS54" i="4"/>
  <c r="BR54" i="4"/>
  <c r="BQ54" i="4"/>
  <c r="BP54" i="4"/>
  <c r="BO54" i="4"/>
  <c r="BN54" i="4"/>
  <c r="BM54" i="4"/>
  <c r="BL54" i="4"/>
  <c r="BK54" i="4"/>
  <c r="BJ54" i="4"/>
  <c r="BI54" i="4"/>
  <c r="BH54" i="4"/>
  <c r="BG54" i="4"/>
  <c r="BF54" i="4"/>
  <c r="BE54" i="4"/>
  <c r="BD54" i="4"/>
  <c r="BC54" i="4"/>
  <c r="BB54" i="4"/>
  <c r="AZ54" i="4"/>
  <c r="AE54" i="4"/>
  <c r="AC54" i="4" s="1"/>
  <c r="I54" i="4"/>
  <c r="DK53" i="4"/>
  <c r="DJ53" i="4"/>
  <c r="DI53" i="4"/>
  <c r="DI57" i="4" s="1"/>
  <c r="DH53" i="4"/>
  <c r="DG53" i="4"/>
  <c r="DF53" i="4"/>
  <c r="DE53" i="4"/>
  <c r="DD53" i="4"/>
  <c r="DC53" i="4"/>
  <c r="DB53" i="4"/>
  <c r="DA53" i="4"/>
  <c r="CZ53" i="4"/>
  <c r="CY53" i="4"/>
  <c r="CX53" i="4"/>
  <c r="CW53" i="4"/>
  <c r="CV53" i="4"/>
  <c r="CT53" i="4"/>
  <c r="CS53" i="4"/>
  <c r="CR53" i="4"/>
  <c r="BU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A53" i="4"/>
  <c r="AZ53" i="4"/>
  <c r="AF53" i="4"/>
  <c r="AC53" i="4" s="1"/>
  <c r="K53" i="4"/>
  <c r="DM52" i="4"/>
  <c r="DK52" i="4"/>
  <c r="DJ52" i="4"/>
  <c r="DI52" i="4"/>
  <c r="DH52" i="4"/>
  <c r="DG52" i="4"/>
  <c r="DF52" i="4"/>
  <c r="DE52" i="4"/>
  <c r="DD52" i="4"/>
  <c r="DC52" i="4"/>
  <c r="DB52" i="4"/>
  <c r="DA52" i="4"/>
  <c r="CZ52" i="4"/>
  <c r="CY52" i="4"/>
  <c r="CX52" i="4"/>
  <c r="CW52" i="4"/>
  <c r="CV52" i="4"/>
  <c r="CU52" i="4"/>
  <c r="CS52" i="4"/>
  <c r="CR52" i="4"/>
  <c r="BX52" i="4"/>
  <c r="BU52" i="4" s="1"/>
  <c r="BT52" i="4" s="1"/>
  <c r="CP52" i="4" s="1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A52" i="4"/>
  <c r="AZ52" i="4"/>
  <c r="AF52" i="4"/>
  <c r="BB52" i="4" s="1"/>
  <c r="G52" i="4"/>
  <c r="DJ51" i="4"/>
  <c r="DI51" i="4"/>
  <c r="DH51" i="4"/>
  <c r="DG51" i="4"/>
  <c r="DF51" i="4"/>
  <c r="DE51" i="4"/>
  <c r="DD51" i="4"/>
  <c r="DC51" i="4"/>
  <c r="DB51" i="4"/>
  <c r="DA51" i="4"/>
  <c r="CZ51" i="4"/>
  <c r="CY51" i="4"/>
  <c r="CX51" i="4"/>
  <c r="CW51" i="4"/>
  <c r="CV51" i="4"/>
  <c r="CU51" i="4"/>
  <c r="CT51" i="4"/>
  <c r="CS51" i="4"/>
  <c r="CR51" i="4"/>
  <c r="CO51" i="4"/>
  <c r="DK51" i="4" s="1"/>
  <c r="BU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W51" i="4"/>
  <c r="AC51" i="4" s="1"/>
  <c r="G51" i="4"/>
  <c r="DM50" i="4"/>
  <c r="DK50" i="4"/>
  <c r="DJ50" i="4"/>
  <c r="DI50" i="4"/>
  <c r="DH50" i="4"/>
  <c r="DG50" i="4"/>
  <c r="DF50" i="4"/>
  <c r="DE50" i="4"/>
  <c r="DD50" i="4"/>
  <c r="DC50" i="4"/>
  <c r="DB50" i="4"/>
  <c r="DA50" i="4"/>
  <c r="CZ50" i="4"/>
  <c r="CY50" i="4"/>
  <c r="CX50" i="4"/>
  <c r="CW50" i="4"/>
  <c r="CV50" i="4"/>
  <c r="CU50" i="4"/>
  <c r="CS50" i="4"/>
  <c r="CR50" i="4"/>
  <c r="BX50" i="4"/>
  <c r="CT50" i="4" s="1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A50" i="4"/>
  <c r="AZ50" i="4"/>
  <c r="AF50" i="4"/>
  <c r="BB50" i="4" s="1"/>
  <c r="AA50" i="4"/>
  <c r="G50" i="4"/>
  <c r="DK49" i="4"/>
  <c r="DJ49" i="4"/>
  <c r="DI49" i="4"/>
  <c r="DH49" i="4"/>
  <c r="DG49" i="4"/>
  <c r="DE49" i="4"/>
  <c r="DD49" i="4"/>
  <c r="DC49" i="4"/>
  <c r="DB49" i="4"/>
  <c r="DA49" i="4"/>
  <c r="CZ49" i="4"/>
  <c r="CY49" i="4"/>
  <c r="CX49" i="4"/>
  <c r="CW49" i="4"/>
  <c r="CV49" i="4"/>
  <c r="CU49" i="4"/>
  <c r="CT49" i="4"/>
  <c r="CR49" i="4"/>
  <c r="BW49" i="4"/>
  <c r="CS49" i="4" s="1"/>
  <c r="BS49" i="4"/>
  <c r="BR49" i="4"/>
  <c r="BQ49" i="4"/>
  <c r="BP49" i="4"/>
  <c r="BO49" i="4"/>
  <c r="BM49" i="4"/>
  <c r="BL49" i="4"/>
  <c r="BK49" i="4"/>
  <c r="BJ49" i="4"/>
  <c r="BI49" i="4"/>
  <c r="BH49" i="4"/>
  <c r="BG49" i="4"/>
  <c r="BF49" i="4"/>
  <c r="BE49" i="4"/>
  <c r="BD49" i="4"/>
  <c r="BC49" i="4"/>
  <c r="BB49" i="4"/>
  <c r="AZ49" i="4"/>
  <c r="AR49" i="4"/>
  <c r="BN49" i="4" s="1"/>
  <c r="AE49" i="4"/>
  <c r="BA49" i="4" s="1"/>
  <c r="AC49" i="4"/>
  <c r="AB49" i="4" s="1"/>
  <c r="AX49" i="4" s="1"/>
  <c r="G49" i="4"/>
  <c r="DM49" i="4" s="1"/>
  <c r="DM48" i="4"/>
  <c r="DF48" i="4"/>
  <c r="CQ48" i="4"/>
  <c r="BU48" i="4"/>
  <c r="BN48" i="4"/>
  <c r="AY48" i="4"/>
  <c r="DN48" i="4" s="1"/>
  <c r="AX48" i="4"/>
  <c r="AC48" i="4"/>
  <c r="AB48" i="4"/>
  <c r="G48" i="4"/>
  <c r="DM47" i="4"/>
  <c r="DF47" i="4"/>
  <c r="CQ47" i="4"/>
  <c r="BU47" i="4"/>
  <c r="DO47" i="4" s="1"/>
  <c r="BT47" i="4"/>
  <c r="CP47" i="4" s="1"/>
  <c r="BN47" i="4"/>
  <c r="AY47" i="4" s="1"/>
  <c r="DN47" i="4" s="1"/>
  <c r="AC47" i="4"/>
  <c r="AB47" i="4"/>
  <c r="AX47" i="4" s="1"/>
  <c r="G47" i="4"/>
  <c r="DK46" i="4"/>
  <c r="DJ46" i="4"/>
  <c r="DI46" i="4"/>
  <c r="DH46" i="4"/>
  <c r="DG46" i="4"/>
  <c r="DE46" i="4"/>
  <c r="DD46" i="4"/>
  <c r="DC46" i="4"/>
  <c r="DB46" i="4"/>
  <c r="DA46" i="4"/>
  <c r="CZ46" i="4"/>
  <c r="CY46" i="4"/>
  <c r="CX46" i="4"/>
  <c r="CW46" i="4"/>
  <c r="CV46" i="4"/>
  <c r="CU46" i="4"/>
  <c r="CT46" i="4"/>
  <c r="CR46" i="4"/>
  <c r="BW46" i="4"/>
  <c r="CS46" i="4" s="1"/>
  <c r="BS46" i="4"/>
  <c r="BR46" i="4"/>
  <c r="BQ46" i="4"/>
  <c r="BP46" i="4"/>
  <c r="BO46" i="4"/>
  <c r="BM46" i="4"/>
  <c r="BL46" i="4"/>
  <c r="BK46" i="4"/>
  <c r="BJ46" i="4"/>
  <c r="BI46" i="4"/>
  <c r="BH46" i="4"/>
  <c r="BG46" i="4"/>
  <c r="BF46" i="4"/>
  <c r="BE46" i="4"/>
  <c r="BD46" i="4"/>
  <c r="BC46" i="4"/>
  <c r="BB46" i="4"/>
  <c r="AZ46" i="4"/>
  <c r="AR46" i="4"/>
  <c r="AE46" i="4"/>
  <c r="BA46" i="4" s="1"/>
  <c r="V46" i="4"/>
  <c r="I46" i="4"/>
  <c r="G46" i="4"/>
  <c r="DM46" i="4" s="1"/>
  <c r="DK45" i="4"/>
  <c r="DJ45" i="4"/>
  <c r="DI45" i="4"/>
  <c r="DH45" i="4"/>
  <c r="DG45" i="4"/>
  <c r="DF45" i="4"/>
  <c r="DE45" i="4"/>
  <c r="DD45" i="4"/>
  <c r="DB45" i="4"/>
  <c r="DA45" i="4"/>
  <c r="CZ45" i="4"/>
  <c r="CY45" i="4"/>
  <c r="CX45" i="4"/>
  <c r="CW45" i="4"/>
  <c r="CV45" i="4"/>
  <c r="CU45" i="4"/>
  <c r="CT45" i="4"/>
  <c r="CS45" i="4"/>
  <c r="CR45" i="4"/>
  <c r="CG45" i="4"/>
  <c r="BS45" i="4"/>
  <c r="BR45" i="4"/>
  <c r="BQ45" i="4"/>
  <c r="BP45" i="4"/>
  <c r="BO45" i="4"/>
  <c r="BN45" i="4"/>
  <c r="BM45" i="4"/>
  <c r="BL45" i="4"/>
  <c r="BJ45" i="4"/>
  <c r="BI45" i="4"/>
  <c r="BH45" i="4"/>
  <c r="BG45" i="4"/>
  <c r="BF45" i="4"/>
  <c r="BE45" i="4"/>
  <c r="BD45" i="4"/>
  <c r="BC45" i="4"/>
  <c r="BB45" i="4"/>
  <c r="BA45" i="4"/>
  <c r="AZ45" i="4"/>
  <c r="AO45" i="4"/>
  <c r="AO121" i="4" s="1"/>
  <c r="S45" i="4"/>
  <c r="DM44" i="4"/>
  <c r="DJ44" i="4"/>
  <c r="DI44" i="4"/>
  <c r="DH44" i="4"/>
  <c r="DG44" i="4"/>
  <c r="DF44" i="4"/>
  <c r="DE44" i="4"/>
  <c r="DD44" i="4"/>
  <c r="DC44" i="4"/>
  <c r="DB44" i="4"/>
  <c r="DA44" i="4"/>
  <c r="CZ44" i="4"/>
  <c r="CY44" i="4"/>
  <c r="CX44" i="4"/>
  <c r="CW44" i="4"/>
  <c r="CV44" i="4"/>
  <c r="CU44" i="4"/>
  <c r="CT44" i="4"/>
  <c r="CS44" i="4"/>
  <c r="CR44" i="4"/>
  <c r="CO44" i="4"/>
  <c r="DK44" i="4" s="1"/>
  <c r="BU44" i="4"/>
  <c r="BT44" i="4" s="1"/>
  <c r="CP44" i="4" s="1"/>
  <c r="BR44" i="4"/>
  <c r="BQ44" i="4"/>
  <c r="BP44" i="4"/>
  <c r="BO44" i="4"/>
  <c r="BN44" i="4"/>
  <c r="BM44" i="4"/>
  <c r="BL44" i="4"/>
  <c r="BK44" i="4"/>
  <c r="BJ44" i="4"/>
  <c r="BI44" i="4"/>
  <c r="BH44" i="4"/>
  <c r="BG44" i="4"/>
  <c r="BF44" i="4"/>
  <c r="BE44" i="4"/>
  <c r="BD44" i="4"/>
  <c r="BC44" i="4"/>
  <c r="BB44" i="4"/>
  <c r="BA44" i="4"/>
  <c r="AZ44" i="4"/>
  <c r="AW44" i="4"/>
  <c r="G44" i="4"/>
  <c r="DM43" i="4"/>
  <c r="DK43" i="4"/>
  <c r="DJ43" i="4"/>
  <c r="DI43" i="4"/>
  <c r="DH43" i="4"/>
  <c r="DG43" i="4"/>
  <c r="DF43" i="4"/>
  <c r="DE43" i="4"/>
  <c r="DD43" i="4"/>
  <c r="DC43" i="4"/>
  <c r="DB43" i="4"/>
  <c r="DA43" i="4"/>
  <c r="CZ43" i="4"/>
  <c r="CY43" i="4"/>
  <c r="CX43" i="4"/>
  <c r="CW43" i="4"/>
  <c r="CV43" i="4"/>
  <c r="CU43" i="4"/>
  <c r="CS43" i="4"/>
  <c r="CR43" i="4"/>
  <c r="BX43" i="4"/>
  <c r="CT43" i="4" s="1"/>
  <c r="BU43" i="4"/>
  <c r="BT43" i="4" s="1"/>
  <c r="CP43" i="4" s="1"/>
  <c r="BS43" i="4"/>
  <c r="BR43" i="4"/>
  <c r="BQ43" i="4"/>
  <c r="BP43" i="4"/>
  <c r="BO43" i="4"/>
  <c r="BN43" i="4"/>
  <c r="BM43" i="4"/>
  <c r="BL43" i="4"/>
  <c r="BK43" i="4"/>
  <c r="BJ43" i="4"/>
  <c r="BI43" i="4"/>
  <c r="BH43" i="4"/>
  <c r="BG43" i="4"/>
  <c r="BF43" i="4"/>
  <c r="BE43" i="4"/>
  <c r="BD43" i="4"/>
  <c r="BC43" i="4"/>
  <c r="BA43" i="4"/>
  <c r="AZ43" i="4"/>
  <c r="AF43" i="4"/>
  <c r="BB43" i="4" s="1"/>
  <c r="AC43" i="4"/>
  <c r="AB43" i="4" s="1"/>
  <c r="AX43" i="4" s="1"/>
  <c r="G43" i="4"/>
  <c r="DK42" i="4"/>
  <c r="CQ42" i="4"/>
  <c r="BU42" i="4"/>
  <c r="BS42" i="4"/>
  <c r="AY42" i="4"/>
  <c r="DN42" i="4" s="1"/>
  <c r="AC42" i="4"/>
  <c r="G42" i="4"/>
  <c r="DM42" i="4" s="1"/>
  <c r="DM41" i="4"/>
  <c r="DK41" i="4"/>
  <c r="DJ41" i="4"/>
  <c r="DI41" i="4"/>
  <c r="DH41" i="4"/>
  <c r="DG41" i="4"/>
  <c r="DF41" i="4"/>
  <c r="DE41" i="4"/>
  <c r="DD41" i="4"/>
  <c r="DC41" i="4"/>
  <c r="DB41" i="4"/>
  <c r="DA41" i="4"/>
  <c r="CZ41" i="4"/>
  <c r="CY41" i="4"/>
  <c r="CX41" i="4"/>
  <c r="CW41" i="4"/>
  <c r="CV41" i="4"/>
  <c r="CU41" i="4"/>
  <c r="CS41" i="4"/>
  <c r="CR41" i="4"/>
  <c r="BX41" i="4"/>
  <c r="BU41" i="4" s="1"/>
  <c r="BT41" i="4" s="1"/>
  <c r="CP41" i="4" s="1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A41" i="4"/>
  <c r="AZ41" i="4"/>
  <c r="AF41" i="4"/>
  <c r="BB41" i="4" s="1"/>
  <c r="AC41" i="4"/>
  <c r="AB41" i="4"/>
  <c r="AX41" i="4" s="1"/>
  <c r="G41" i="4"/>
  <c r="DM40" i="4"/>
  <c r="DK40" i="4"/>
  <c r="DJ40" i="4"/>
  <c r="DI40" i="4"/>
  <c r="DH40" i="4"/>
  <c r="DG40" i="4"/>
  <c r="DF40" i="4"/>
  <c r="DE40" i="4"/>
  <c r="DD40" i="4"/>
  <c r="DC40" i="4"/>
  <c r="DB40" i="4"/>
  <c r="DA40" i="4"/>
  <c r="CZ40" i="4"/>
  <c r="CY40" i="4"/>
  <c r="CX40" i="4"/>
  <c r="CW40" i="4"/>
  <c r="CV40" i="4"/>
  <c r="CU40" i="4"/>
  <c r="CS40" i="4"/>
  <c r="CR40" i="4"/>
  <c r="BX40" i="4"/>
  <c r="CT40" i="4" s="1"/>
  <c r="BU40" i="4"/>
  <c r="BT40" i="4" s="1"/>
  <c r="CP40" i="4" s="1"/>
  <c r="BR40" i="4"/>
  <c r="BQ40" i="4"/>
  <c r="BP40" i="4"/>
  <c r="BO40" i="4"/>
  <c r="BM40" i="4"/>
  <c r="BL40" i="4"/>
  <c r="BK40" i="4"/>
  <c r="BJ40" i="4"/>
  <c r="BI40" i="4"/>
  <c r="BH40" i="4"/>
  <c r="BG40" i="4"/>
  <c r="BF40" i="4"/>
  <c r="BE40" i="4"/>
  <c r="BD40" i="4"/>
  <c r="BC40" i="4"/>
  <c r="BA40" i="4"/>
  <c r="AZ40" i="4"/>
  <c r="AW40" i="4"/>
  <c r="BS40" i="4" s="1"/>
  <c r="AF40" i="4"/>
  <c r="AC40" i="4" s="1"/>
  <c r="AB40" i="4" s="1"/>
  <c r="AX40" i="4" s="1"/>
  <c r="V40" i="4"/>
  <c r="G40" i="4" s="1"/>
  <c r="DM39" i="4"/>
  <c r="DK39" i="4"/>
  <c r="DJ39" i="4"/>
  <c r="DI39" i="4"/>
  <c r="DH39" i="4"/>
  <c r="DG39" i="4"/>
  <c r="DF39" i="4"/>
  <c r="DE39" i="4"/>
  <c r="DD39" i="4"/>
  <c r="DC39" i="4"/>
  <c r="DB39" i="4"/>
  <c r="DA39" i="4"/>
  <c r="CZ39" i="4"/>
  <c r="CY39" i="4"/>
  <c r="CX39" i="4"/>
  <c r="CW39" i="4"/>
  <c r="CV39" i="4"/>
  <c r="CU39" i="4"/>
  <c r="CS39" i="4"/>
  <c r="CR39" i="4"/>
  <c r="BX39" i="4"/>
  <c r="CT39" i="4" s="1"/>
  <c r="BS39" i="4"/>
  <c r="BR39" i="4"/>
  <c r="BQ39" i="4"/>
  <c r="BP39" i="4"/>
  <c r="BO39" i="4"/>
  <c r="BN39" i="4"/>
  <c r="BM39" i="4"/>
  <c r="BL39" i="4"/>
  <c r="BK39" i="4"/>
  <c r="BJ39" i="4"/>
  <c r="BI39" i="4"/>
  <c r="BH39" i="4"/>
  <c r="BG39" i="4"/>
  <c r="BF39" i="4"/>
  <c r="BE39" i="4"/>
  <c r="BD39" i="4"/>
  <c r="BC39" i="4"/>
  <c r="BA39" i="4"/>
  <c r="AZ39" i="4"/>
  <c r="AF39" i="4"/>
  <c r="V39" i="4"/>
  <c r="G39" i="4"/>
  <c r="DK38" i="4"/>
  <c r="DJ38" i="4"/>
  <c r="DI38" i="4"/>
  <c r="DG38" i="4"/>
  <c r="DF38" i="4"/>
  <c r="DE38" i="4"/>
  <c r="DD38" i="4"/>
  <c r="DC38" i="4"/>
  <c r="DB38" i="4"/>
  <c r="DA38" i="4"/>
  <c r="CZ38" i="4"/>
  <c r="CY38" i="4"/>
  <c r="CX38" i="4"/>
  <c r="CW38" i="4"/>
  <c r="CV38" i="4"/>
  <c r="CU38" i="4"/>
  <c r="CT38" i="4"/>
  <c r="CR38" i="4"/>
  <c r="CL38" i="4"/>
  <c r="CL121" i="4" s="1"/>
  <c r="BW38" i="4"/>
  <c r="CS38" i="4" s="1"/>
  <c r="BS38" i="4"/>
  <c r="BR38" i="4"/>
  <c r="BQ38" i="4"/>
  <c r="BO38" i="4"/>
  <c r="BN38" i="4"/>
  <c r="BM38" i="4"/>
  <c r="BL38" i="4"/>
  <c r="BK38" i="4"/>
  <c r="BJ38" i="4"/>
  <c r="BI38" i="4"/>
  <c r="BH38" i="4"/>
  <c r="BG38" i="4"/>
  <c r="BF38" i="4"/>
  <c r="BE38" i="4"/>
  <c r="BD38" i="4"/>
  <c r="BC38" i="4"/>
  <c r="BB38" i="4"/>
  <c r="AZ38" i="4"/>
  <c r="AT38" i="4"/>
  <c r="AE38" i="4"/>
  <c r="BA38" i="4" s="1"/>
  <c r="X38" i="4"/>
  <c r="DM37" i="4"/>
  <c r="DJ37" i="4"/>
  <c r="DI37" i="4"/>
  <c r="DH37" i="4"/>
  <c r="DG37" i="4"/>
  <c r="DF37" i="4"/>
  <c r="DE37" i="4"/>
  <c r="DD37" i="4"/>
  <c r="DC37" i="4"/>
  <c r="DB37" i="4"/>
  <c r="DA37" i="4"/>
  <c r="CZ37" i="4"/>
  <c r="CY37" i="4"/>
  <c r="CX37" i="4"/>
  <c r="CW37" i="4"/>
  <c r="CV37" i="4"/>
  <c r="CU37" i="4"/>
  <c r="CT37" i="4"/>
  <c r="CS37" i="4"/>
  <c r="CR37" i="4"/>
  <c r="CO37" i="4"/>
  <c r="DK37" i="4" s="1"/>
  <c r="BR37" i="4"/>
  <c r="BQ37" i="4"/>
  <c r="BP37" i="4"/>
  <c r="BO37" i="4"/>
  <c r="BN37" i="4"/>
  <c r="BM37" i="4"/>
  <c r="BL37" i="4"/>
  <c r="BK37" i="4"/>
  <c r="BJ37" i="4"/>
  <c r="BI37" i="4"/>
  <c r="BH37" i="4"/>
  <c r="BG37" i="4"/>
  <c r="BF37" i="4"/>
  <c r="BE37" i="4"/>
  <c r="BD37" i="4"/>
  <c r="BC37" i="4"/>
  <c r="BB37" i="4"/>
  <c r="BA37" i="4"/>
  <c r="AZ37" i="4"/>
  <c r="AW37" i="4"/>
  <c r="G37" i="4"/>
  <c r="DM36" i="4"/>
  <c r="DJ36" i="4"/>
  <c r="DI36" i="4"/>
  <c r="DH36" i="4"/>
  <c r="DG36" i="4"/>
  <c r="DF36" i="4"/>
  <c r="DE36" i="4"/>
  <c r="DD36" i="4"/>
  <c r="DC36" i="4"/>
  <c r="DB36" i="4"/>
  <c r="DA36" i="4"/>
  <c r="CZ36" i="4"/>
  <c r="CY36" i="4"/>
  <c r="CX36" i="4"/>
  <c r="CW36" i="4"/>
  <c r="CV36" i="4"/>
  <c r="CU36" i="4"/>
  <c r="CS36" i="4"/>
  <c r="CR36" i="4"/>
  <c r="CO36" i="4"/>
  <c r="DK36" i="4" s="1"/>
  <c r="BX36" i="4"/>
  <c r="BR36" i="4"/>
  <c r="BQ36" i="4"/>
  <c r="BP36" i="4"/>
  <c r="BO36" i="4"/>
  <c r="BN36" i="4"/>
  <c r="BM36" i="4"/>
  <c r="BL36" i="4"/>
  <c r="BK36" i="4"/>
  <c r="BJ36" i="4"/>
  <c r="BI36" i="4"/>
  <c r="BH36" i="4"/>
  <c r="BG36" i="4"/>
  <c r="BF36" i="4"/>
  <c r="BE36" i="4"/>
  <c r="BD36" i="4"/>
  <c r="BC36" i="4"/>
  <c r="BA36" i="4"/>
  <c r="AZ36" i="4"/>
  <c r="AW36" i="4"/>
  <c r="BS36" i="4" s="1"/>
  <c r="AF36" i="4"/>
  <c r="G36" i="4"/>
  <c r="DJ35" i="4"/>
  <c r="DI35" i="4"/>
  <c r="DH35" i="4"/>
  <c r="DG35" i="4"/>
  <c r="DF35" i="4"/>
  <c r="DE35" i="4"/>
  <c r="DD35" i="4"/>
  <c r="DC35" i="4"/>
  <c r="DB35" i="4"/>
  <c r="DA35" i="4"/>
  <c r="CZ35" i="4"/>
  <c r="CY35" i="4"/>
  <c r="CX35" i="4"/>
  <c r="CW35" i="4"/>
  <c r="CV35" i="4"/>
  <c r="CU35" i="4"/>
  <c r="CT35" i="4"/>
  <c r="CR35" i="4"/>
  <c r="CO35" i="4"/>
  <c r="DK35" i="4" s="1"/>
  <c r="BW35" i="4"/>
  <c r="CS35" i="4" s="1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AZ35" i="4"/>
  <c r="AW35" i="4"/>
  <c r="BS35" i="4" s="1"/>
  <c r="AE35" i="4"/>
  <c r="AA35" i="4"/>
  <c r="AA121" i="4" s="1"/>
  <c r="G35" i="4"/>
  <c r="DM35" i="4" s="1"/>
  <c r="DM34" i="4"/>
  <c r="DK34" i="4"/>
  <c r="DJ34" i="4"/>
  <c r="DI34" i="4"/>
  <c r="DH34" i="4"/>
  <c r="DG34" i="4"/>
  <c r="DF34" i="4"/>
  <c r="DE34" i="4"/>
  <c r="DD34" i="4"/>
  <c r="DC34" i="4"/>
  <c r="DB34" i="4"/>
  <c r="DA34" i="4"/>
  <c r="CZ34" i="4"/>
  <c r="CY34" i="4"/>
  <c r="CX34" i="4"/>
  <c r="CW34" i="4"/>
  <c r="CV34" i="4"/>
  <c r="CU34" i="4"/>
  <c r="CT34" i="4"/>
  <c r="CR34" i="4"/>
  <c r="BW34" i="4"/>
  <c r="CS34" i="4" s="1"/>
  <c r="CQ34" i="4" s="1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AZ34" i="4"/>
  <c r="AE34" i="4"/>
  <c r="BA34" i="4" s="1"/>
  <c r="G34" i="4"/>
  <c r="DK33" i="4"/>
  <c r="DJ33" i="4"/>
  <c r="DI33" i="4"/>
  <c r="DH33" i="4"/>
  <c r="DG33" i="4"/>
  <c r="DF33" i="4"/>
  <c r="DE33" i="4"/>
  <c r="DD33" i="4"/>
  <c r="DC33" i="4"/>
  <c r="DB33" i="4"/>
  <c r="DA33" i="4"/>
  <c r="CZ33" i="4"/>
  <c r="CY33" i="4"/>
  <c r="CX33" i="4"/>
  <c r="CW33" i="4"/>
  <c r="CV33" i="4"/>
  <c r="CU33" i="4"/>
  <c r="CT33" i="4"/>
  <c r="CR33" i="4"/>
  <c r="BW33" i="4"/>
  <c r="BU33" i="4" s="1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AZ33" i="4"/>
  <c r="AE33" i="4"/>
  <c r="AC33" i="4" s="1"/>
  <c r="I33" i="4"/>
  <c r="DM32" i="4"/>
  <c r="DK32" i="4"/>
  <c r="DJ32" i="4"/>
  <c r="DI32" i="4"/>
  <c r="DH32" i="4"/>
  <c r="DG32" i="4"/>
  <c r="DF32" i="4"/>
  <c r="DE32" i="4"/>
  <c r="DD32" i="4"/>
  <c r="DC32" i="4"/>
  <c r="DB32" i="4"/>
  <c r="DA32" i="4"/>
  <c r="CZ32" i="4"/>
  <c r="CY32" i="4"/>
  <c r="CX32" i="4"/>
  <c r="CW32" i="4"/>
  <c r="CV32" i="4"/>
  <c r="CU32" i="4"/>
  <c r="CT32" i="4"/>
  <c r="CS32" i="4"/>
  <c r="CR32" i="4"/>
  <c r="BU32" i="4"/>
  <c r="BS32" i="4"/>
  <c r="BR32" i="4"/>
  <c r="BQ32" i="4"/>
  <c r="BP32" i="4"/>
  <c r="BO32" i="4"/>
  <c r="BN32" i="4"/>
  <c r="BM32" i="4"/>
  <c r="BL32" i="4"/>
  <c r="BK32" i="4"/>
  <c r="BJ32" i="4"/>
  <c r="BI32" i="4"/>
  <c r="BH32" i="4"/>
  <c r="BG32" i="4"/>
  <c r="BF32" i="4"/>
  <c r="BE32" i="4"/>
  <c r="BD32" i="4"/>
  <c r="BC32" i="4"/>
  <c r="BB32" i="4"/>
  <c r="BA32" i="4"/>
  <c r="AZ32" i="4"/>
  <c r="AC32" i="4"/>
  <c r="I32" i="4"/>
  <c r="G32" i="4"/>
  <c r="AB32" i="4" s="1"/>
  <c r="AX32" i="4" s="1"/>
  <c r="DK31" i="4"/>
  <c r="DJ31" i="4"/>
  <c r="DI31" i="4"/>
  <c r="DH31" i="4"/>
  <c r="DG31" i="4"/>
  <c r="DF31" i="4"/>
  <c r="DE31" i="4"/>
  <c r="DD31" i="4"/>
  <c r="DC31" i="4"/>
  <c r="DB31" i="4"/>
  <c r="DA31" i="4"/>
  <c r="CZ31" i="4"/>
  <c r="CY31" i="4"/>
  <c r="CX31" i="4"/>
  <c r="CW31" i="4"/>
  <c r="CV31" i="4"/>
  <c r="CU31" i="4"/>
  <c r="CT31" i="4"/>
  <c r="CR31" i="4"/>
  <c r="BW31" i="4"/>
  <c r="BS31" i="4"/>
  <c r="BR31" i="4"/>
  <c r="BQ31" i="4"/>
  <c r="BP31" i="4"/>
  <c r="BO31" i="4"/>
  <c r="BN31" i="4"/>
  <c r="BM31" i="4"/>
  <c r="BL31" i="4"/>
  <c r="BK31" i="4"/>
  <c r="BJ31" i="4"/>
  <c r="BI31" i="4"/>
  <c r="BH31" i="4"/>
  <c r="BG31" i="4"/>
  <c r="BF31" i="4"/>
  <c r="BE31" i="4"/>
  <c r="BD31" i="4"/>
  <c r="BC31" i="4"/>
  <c r="BB31" i="4"/>
  <c r="AZ31" i="4"/>
  <c r="AE31" i="4"/>
  <c r="AC31" i="4" s="1"/>
  <c r="G31" i="4"/>
  <c r="DM31" i="4" s="1"/>
  <c r="DK30" i="4"/>
  <c r="DJ30" i="4"/>
  <c r="DI30" i="4"/>
  <c r="DH30" i="4"/>
  <c r="DG30" i="4"/>
  <c r="DF30" i="4"/>
  <c r="DE30" i="4"/>
  <c r="DD30" i="4"/>
  <c r="DC30" i="4"/>
  <c r="DB30" i="4"/>
  <c r="DA30" i="4"/>
  <c r="CZ30" i="4"/>
  <c r="CY30" i="4"/>
  <c r="CX30" i="4"/>
  <c r="CW30" i="4"/>
  <c r="CV30" i="4"/>
  <c r="CU30" i="4"/>
  <c r="CT30" i="4"/>
  <c r="CS30" i="4"/>
  <c r="CR30" i="4"/>
  <c r="BU30" i="4"/>
  <c r="BT30" i="4"/>
  <c r="CP30" i="4" s="1"/>
  <c r="BS30" i="4"/>
  <c r="BR30" i="4"/>
  <c r="BQ30" i="4"/>
  <c r="BP30" i="4"/>
  <c r="BO30" i="4"/>
  <c r="BN30" i="4"/>
  <c r="BM30" i="4"/>
  <c r="BL30" i="4"/>
  <c r="BK30" i="4"/>
  <c r="BJ30" i="4"/>
  <c r="BI30" i="4"/>
  <c r="BH30" i="4"/>
  <c r="BG30" i="4"/>
  <c r="BF30" i="4"/>
  <c r="BE30" i="4"/>
  <c r="BD30" i="4"/>
  <c r="BC30" i="4"/>
  <c r="AY30" i="4" s="1"/>
  <c r="DN30" i="4" s="1"/>
  <c r="BB30" i="4"/>
  <c r="BA30" i="4"/>
  <c r="AZ30" i="4"/>
  <c r="AC30" i="4"/>
  <c r="G30" i="4"/>
  <c r="AB30" i="4" s="1"/>
  <c r="AX30" i="4" s="1"/>
  <c r="DK29" i="4"/>
  <c r="DJ29" i="4"/>
  <c r="DI29" i="4"/>
  <c r="DH29" i="4"/>
  <c r="DG29" i="4"/>
  <c r="DE29" i="4"/>
  <c r="DD29" i="4"/>
  <c r="DC29" i="4"/>
  <c r="DB29" i="4"/>
  <c r="DA29" i="4"/>
  <c r="CZ29" i="4"/>
  <c r="CY29" i="4"/>
  <c r="CX29" i="4"/>
  <c r="CW29" i="4"/>
  <c r="CV29" i="4"/>
  <c r="CU29" i="4"/>
  <c r="CT29" i="4"/>
  <c r="CS29" i="4"/>
  <c r="CR29" i="4"/>
  <c r="CJ29" i="4"/>
  <c r="DF29" i="4" s="1"/>
  <c r="BS29" i="4"/>
  <c r="BR29" i="4"/>
  <c r="BQ29" i="4"/>
  <c r="BP29" i="4"/>
  <c r="BO29" i="4"/>
  <c r="BM29" i="4"/>
  <c r="BL29" i="4"/>
  <c r="BK29" i="4"/>
  <c r="BJ29" i="4"/>
  <c r="BI29" i="4"/>
  <c r="BH29" i="4"/>
  <c r="BG29" i="4"/>
  <c r="BF29" i="4"/>
  <c r="BE29" i="4"/>
  <c r="BD29" i="4"/>
  <c r="BD57" i="4" s="1"/>
  <c r="BC29" i="4"/>
  <c r="BB29" i="4"/>
  <c r="BA29" i="4"/>
  <c r="AZ29" i="4"/>
  <c r="AR29" i="4"/>
  <c r="BN29" i="4" s="1"/>
  <c r="AC29" i="4"/>
  <c r="G29" i="4"/>
  <c r="DM29" i="4" s="1"/>
  <c r="DK28" i="4"/>
  <c r="DJ28" i="4"/>
  <c r="DI28" i="4"/>
  <c r="DH28" i="4"/>
  <c r="DG28" i="4"/>
  <c r="DE28" i="4"/>
  <c r="DE57" i="4" s="1"/>
  <c r="DD28" i="4"/>
  <c r="DC28" i="4"/>
  <c r="DB28" i="4"/>
  <c r="DA28" i="4"/>
  <c r="CZ28" i="4"/>
  <c r="CY28" i="4"/>
  <c r="CX28" i="4"/>
  <c r="CW28" i="4"/>
  <c r="CV28" i="4"/>
  <c r="CU28" i="4"/>
  <c r="CT28" i="4"/>
  <c r="CS28" i="4"/>
  <c r="CR28" i="4"/>
  <c r="CJ28" i="4"/>
  <c r="BS28" i="4"/>
  <c r="BR28" i="4"/>
  <c r="BQ28" i="4"/>
  <c r="BP28" i="4"/>
  <c r="BO28" i="4"/>
  <c r="BM28" i="4"/>
  <c r="BL28" i="4"/>
  <c r="BK28" i="4"/>
  <c r="BJ28" i="4"/>
  <c r="BI28" i="4"/>
  <c r="BH28" i="4"/>
  <c r="BG28" i="4"/>
  <c r="BF28" i="4"/>
  <c r="BF57" i="4" s="1"/>
  <c r="BE28" i="4"/>
  <c r="BD28" i="4"/>
  <c r="BC28" i="4"/>
  <c r="BB28" i="4"/>
  <c r="BA28" i="4"/>
  <c r="AZ28" i="4"/>
  <c r="AR28" i="4"/>
  <c r="BN28" i="4" s="1"/>
  <c r="G28" i="4"/>
  <c r="DM28" i="4" s="1"/>
  <c r="DJ27" i="4"/>
  <c r="DI27" i="4"/>
  <c r="DH27" i="4"/>
  <c r="DG27" i="4"/>
  <c r="DF27" i="4"/>
  <c r="DE27" i="4"/>
  <c r="DD27" i="4"/>
  <c r="DC27" i="4"/>
  <c r="DB27" i="4"/>
  <c r="DA27" i="4"/>
  <c r="CZ27" i="4"/>
  <c r="CY27" i="4"/>
  <c r="CX27" i="4"/>
  <c r="CW27" i="4"/>
  <c r="CV27" i="4"/>
  <c r="CU27" i="4"/>
  <c r="CS27" i="4"/>
  <c r="CR27" i="4"/>
  <c r="BX27" i="4"/>
  <c r="CT27" i="4" s="1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A27" i="4"/>
  <c r="AZ27" i="4"/>
  <c r="AW27" i="4"/>
  <c r="AF27" i="4"/>
  <c r="G27" i="4"/>
  <c r="DM27" i="4" s="1"/>
  <c r="DM26" i="4"/>
  <c r="DK26" i="4"/>
  <c r="DJ26" i="4"/>
  <c r="DI26" i="4"/>
  <c r="DH26" i="4"/>
  <c r="DG26" i="4"/>
  <c r="DF26" i="4"/>
  <c r="DE26" i="4"/>
  <c r="DD26" i="4"/>
  <c r="DC26" i="4"/>
  <c r="DB26" i="4"/>
  <c r="DA26" i="4"/>
  <c r="CZ26" i="4"/>
  <c r="CY26" i="4"/>
  <c r="CX26" i="4"/>
  <c r="CW26" i="4"/>
  <c r="CV26" i="4"/>
  <c r="CU26" i="4"/>
  <c r="CT26" i="4"/>
  <c r="CQ26" i="4" s="1"/>
  <c r="CS26" i="4"/>
  <c r="CR26" i="4"/>
  <c r="BX26" i="4"/>
  <c r="BU26" i="4"/>
  <c r="BT26" i="4" s="1"/>
  <c r="CP26" i="4" s="1"/>
  <c r="BS26" i="4"/>
  <c r="BR26" i="4"/>
  <c r="BQ26" i="4"/>
  <c r="BP26" i="4"/>
  <c r="BO26" i="4"/>
  <c r="BN26" i="4"/>
  <c r="BM26" i="4"/>
  <c r="BL26" i="4"/>
  <c r="BK26" i="4"/>
  <c r="BJ26" i="4"/>
  <c r="BI26" i="4"/>
  <c r="BH26" i="4"/>
  <c r="BG26" i="4"/>
  <c r="BF26" i="4"/>
  <c r="BE26" i="4"/>
  <c r="BD26" i="4"/>
  <c r="BC26" i="4"/>
  <c r="BA26" i="4"/>
  <c r="AZ26" i="4"/>
  <c r="AF26" i="4"/>
  <c r="BB26" i="4" s="1"/>
  <c r="G26" i="4"/>
  <c r="DK25" i="4"/>
  <c r="DJ25" i="4"/>
  <c r="DI25" i="4"/>
  <c r="DH25" i="4"/>
  <c r="DG25" i="4"/>
  <c r="DF25" i="4"/>
  <c r="DE25" i="4"/>
  <c r="DD25" i="4"/>
  <c r="DC25" i="4"/>
  <c r="DB25" i="4"/>
  <c r="DA25" i="4"/>
  <c r="CZ25" i="4"/>
  <c r="CY25" i="4"/>
  <c r="CX25" i="4"/>
  <c r="CW25" i="4"/>
  <c r="CV25" i="4"/>
  <c r="CU25" i="4"/>
  <c r="CS25" i="4"/>
  <c r="CR25" i="4"/>
  <c r="BX25" i="4"/>
  <c r="CT25" i="4" s="1"/>
  <c r="BS25" i="4"/>
  <c r="BR25" i="4"/>
  <c r="BQ25" i="4"/>
  <c r="BQ121" i="4" s="1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A25" i="4"/>
  <c r="AZ25" i="4"/>
  <c r="AF25" i="4"/>
  <c r="AC25" i="4" s="1"/>
  <c r="AB25" i="4" s="1"/>
  <c r="AX25" i="4" s="1"/>
  <c r="G25" i="4"/>
  <c r="CY24" i="4"/>
  <c r="CN24" i="4"/>
  <c r="CM24" i="4"/>
  <c r="CL24" i="4"/>
  <c r="CK24" i="4"/>
  <c r="CJ24" i="4"/>
  <c r="CH24" i="4"/>
  <c r="CG24" i="4"/>
  <c r="CF24" i="4"/>
  <c r="CE24" i="4"/>
  <c r="CE116" i="4" s="1"/>
  <c r="CD24" i="4"/>
  <c r="CC24" i="4"/>
  <c r="CB24" i="4"/>
  <c r="CA24" i="4"/>
  <c r="BZ24" i="4"/>
  <c r="BV24" i="4"/>
  <c r="AV24" i="4"/>
  <c r="AU24" i="4"/>
  <c r="AT24" i="4"/>
  <c r="AS24" i="4"/>
  <c r="AR24" i="4"/>
  <c r="AP24" i="4"/>
  <c r="AO24" i="4"/>
  <c r="AN24" i="4"/>
  <c r="AM24" i="4"/>
  <c r="AM116" i="4" s="1"/>
  <c r="AL24" i="4"/>
  <c r="AK24" i="4"/>
  <c r="AJ24" i="4"/>
  <c r="AI24" i="4"/>
  <c r="AH24" i="4"/>
  <c r="AD24" i="4"/>
  <c r="Z24" i="4"/>
  <c r="Y24" i="4"/>
  <c r="X24" i="4"/>
  <c r="W24" i="4"/>
  <c r="W116" i="4" s="1"/>
  <c r="W128" i="4" s="1"/>
  <c r="V24" i="4"/>
  <c r="U24" i="4"/>
  <c r="T24" i="4"/>
  <c r="T116" i="4" s="1"/>
  <c r="T128" i="4" s="1"/>
  <c r="S24" i="4"/>
  <c r="R24" i="4"/>
  <c r="Q24" i="4"/>
  <c r="Q116" i="4" s="1"/>
  <c r="Q128" i="4" s="1"/>
  <c r="P24" i="4"/>
  <c r="P116" i="4" s="1"/>
  <c r="O24" i="4"/>
  <c r="O116" i="4" s="1"/>
  <c r="N24" i="4"/>
  <c r="N116" i="4" s="1"/>
  <c r="M24" i="4"/>
  <c r="M116" i="4" s="1"/>
  <c r="M128" i="4" s="1"/>
  <c r="L24" i="4"/>
  <c r="L116" i="4" s="1"/>
  <c r="L128" i="4" s="1"/>
  <c r="K24" i="4"/>
  <c r="J24" i="4"/>
  <c r="H24" i="4"/>
  <c r="DK23" i="4"/>
  <c r="DJ23" i="4"/>
  <c r="DI23" i="4"/>
  <c r="DH23" i="4"/>
  <c r="DG23" i="4"/>
  <c r="DF23" i="4"/>
  <c r="DE23" i="4"/>
  <c r="DD23" i="4"/>
  <c r="DC23" i="4"/>
  <c r="DB23" i="4"/>
  <c r="DA23" i="4"/>
  <c r="CZ23" i="4"/>
  <c r="CY23" i="4"/>
  <c r="CX23" i="4"/>
  <c r="CW23" i="4"/>
  <c r="CV23" i="4"/>
  <c r="CU23" i="4"/>
  <c r="CS23" i="4"/>
  <c r="CR23" i="4"/>
  <c r="BX23" i="4"/>
  <c r="CT23" i="4" s="1"/>
  <c r="BS23" i="4"/>
  <c r="BR23" i="4"/>
  <c r="BQ23" i="4"/>
  <c r="BP23" i="4"/>
  <c r="BO23" i="4"/>
  <c r="BN23" i="4"/>
  <c r="BM23" i="4"/>
  <c r="BL23" i="4"/>
  <c r="BK23" i="4"/>
  <c r="BJ23" i="4"/>
  <c r="BI23" i="4"/>
  <c r="BH23" i="4"/>
  <c r="BG23" i="4"/>
  <c r="BF23" i="4"/>
  <c r="BE23" i="4"/>
  <c r="BD23" i="4"/>
  <c r="BC23" i="4"/>
  <c r="BA23" i="4"/>
  <c r="AZ23" i="4"/>
  <c r="AF23" i="4"/>
  <c r="AC23" i="4" s="1"/>
  <c r="AB23" i="4" s="1"/>
  <c r="AX23" i="4" s="1"/>
  <c r="G23" i="4"/>
  <c r="DM22" i="4"/>
  <c r="DJ22" i="4"/>
  <c r="DI22" i="4"/>
  <c r="DH22" i="4"/>
  <c r="DG22" i="4"/>
  <c r="DF22" i="4"/>
  <c r="DE22" i="4"/>
  <c r="DD22" i="4"/>
  <c r="DC22" i="4"/>
  <c r="DB22" i="4"/>
  <c r="DA22" i="4"/>
  <c r="CZ22" i="4"/>
  <c r="CY22" i="4"/>
  <c r="CX22" i="4"/>
  <c r="CW22" i="4"/>
  <c r="CV22" i="4"/>
  <c r="CU22" i="4"/>
  <c r="CT22" i="4"/>
  <c r="CR22" i="4"/>
  <c r="CO22" i="4"/>
  <c r="BW22" i="4"/>
  <c r="BR22" i="4"/>
  <c r="BQ22" i="4"/>
  <c r="BP22" i="4"/>
  <c r="BO22" i="4"/>
  <c r="BN22" i="4"/>
  <c r="BL22" i="4"/>
  <c r="BK22" i="4"/>
  <c r="BJ22" i="4"/>
  <c r="BI22" i="4"/>
  <c r="BH22" i="4"/>
  <c r="BG22" i="4"/>
  <c r="BF22" i="4"/>
  <c r="BE22" i="4"/>
  <c r="BD22" i="4"/>
  <c r="BC22" i="4"/>
  <c r="BB22" i="4"/>
  <c r="AZ22" i="4"/>
  <c r="AW22" i="4"/>
  <c r="AQ22" i="4"/>
  <c r="BM22" i="4" s="1"/>
  <c r="AE22" i="4"/>
  <c r="BA22" i="4" s="1"/>
  <c r="AA22" i="4"/>
  <c r="G22" i="4" s="1"/>
  <c r="DM21" i="4"/>
  <c r="DK21" i="4"/>
  <c r="DJ21" i="4"/>
  <c r="DI21" i="4"/>
  <c r="DH21" i="4"/>
  <c r="DG21" i="4"/>
  <c r="DF21" i="4"/>
  <c r="DE21" i="4"/>
  <c r="DD21" i="4"/>
  <c r="DC21" i="4"/>
  <c r="DB21" i="4"/>
  <c r="DA21" i="4"/>
  <c r="CZ21" i="4"/>
  <c r="CY21" i="4"/>
  <c r="CX21" i="4"/>
  <c r="CW21" i="4"/>
  <c r="CV21" i="4"/>
  <c r="CU21" i="4"/>
  <c r="CT21" i="4"/>
  <c r="CR21" i="4"/>
  <c r="BW21" i="4"/>
  <c r="CS21" i="4" s="1"/>
  <c r="BU21" i="4"/>
  <c r="BS21" i="4"/>
  <c r="BR21" i="4"/>
  <c r="BQ21" i="4"/>
  <c r="BP21" i="4"/>
  <c r="BO21" i="4"/>
  <c r="BN21" i="4"/>
  <c r="BM21" i="4"/>
  <c r="BL21" i="4"/>
  <c r="BK21" i="4"/>
  <c r="BJ21" i="4"/>
  <c r="BI21" i="4"/>
  <c r="BH21" i="4"/>
  <c r="BG21" i="4"/>
  <c r="BF21" i="4"/>
  <c r="BE21" i="4"/>
  <c r="BD21" i="4"/>
  <c r="BC21" i="4"/>
  <c r="BB21" i="4"/>
  <c r="AZ21" i="4"/>
  <c r="AE21" i="4"/>
  <c r="BA21" i="4" s="1"/>
  <c r="AY21" i="4" s="1"/>
  <c r="G21" i="4"/>
  <c r="DF20" i="4"/>
  <c r="CQ20" i="4"/>
  <c r="DO20" i="4" s="1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AY20" i="4" s="1"/>
  <c r="BA20" i="4"/>
  <c r="AZ20" i="4"/>
  <c r="AC20" i="4"/>
  <c r="G20" i="4"/>
  <c r="BT20" i="4" s="1"/>
  <c r="CP20" i="4" s="1"/>
  <c r="DM19" i="4"/>
  <c r="DF19" i="4"/>
  <c r="CQ19" i="4" s="1"/>
  <c r="DO19" i="4" s="1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AY19" i="4" s="1"/>
  <c r="BE19" i="4"/>
  <c r="BD19" i="4"/>
  <c r="BC19" i="4"/>
  <c r="BB19" i="4"/>
  <c r="BA19" i="4"/>
  <c r="AZ19" i="4"/>
  <c r="AC19" i="4"/>
  <c r="G19" i="4"/>
  <c r="BT19" i="4" s="1"/>
  <c r="CP19" i="4" s="1"/>
  <c r="DJ18" i="4"/>
  <c r="DI18" i="4"/>
  <c r="DH18" i="4"/>
  <c r="DG18" i="4"/>
  <c r="DF18" i="4"/>
  <c r="DD18" i="4"/>
  <c r="DC18" i="4"/>
  <c r="DB18" i="4"/>
  <c r="DA18" i="4"/>
  <c r="CZ18" i="4"/>
  <c r="CY18" i="4"/>
  <c r="CX18" i="4"/>
  <c r="CW18" i="4"/>
  <c r="CV18" i="4"/>
  <c r="CU18" i="4"/>
  <c r="CT18" i="4"/>
  <c r="CR18" i="4"/>
  <c r="CI18" i="4"/>
  <c r="DE18" i="4" s="1"/>
  <c r="BW18" i="4"/>
  <c r="CS18" i="4" s="1"/>
  <c r="BR18" i="4"/>
  <c r="BQ18" i="4"/>
  <c r="BP18" i="4"/>
  <c r="BO18" i="4"/>
  <c r="BN18" i="4"/>
  <c r="BL18" i="4"/>
  <c r="BK18" i="4"/>
  <c r="BJ18" i="4"/>
  <c r="BI18" i="4"/>
  <c r="BH18" i="4"/>
  <c r="BG18" i="4"/>
  <c r="BF18" i="4"/>
  <c r="BE18" i="4"/>
  <c r="BD18" i="4"/>
  <c r="BC18" i="4"/>
  <c r="BB18" i="4"/>
  <c r="BA18" i="4"/>
  <c r="AZ18" i="4"/>
  <c r="AW18" i="4"/>
  <c r="AQ18" i="4"/>
  <c r="BM18" i="4" s="1"/>
  <c r="AE18" i="4"/>
  <c r="AA18" i="4"/>
  <c r="DJ17" i="4"/>
  <c r="DI17" i="4"/>
  <c r="DH17" i="4"/>
  <c r="DG17" i="4"/>
  <c r="DF17" i="4"/>
  <c r="DE17" i="4"/>
  <c r="DD17" i="4"/>
  <c r="DC17" i="4"/>
  <c r="DB17" i="4"/>
  <c r="DA17" i="4"/>
  <c r="CZ17" i="4"/>
  <c r="CY17" i="4"/>
  <c r="CX17" i="4"/>
  <c r="CW17" i="4"/>
  <c r="CV17" i="4"/>
  <c r="CU17" i="4"/>
  <c r="CT17" i="4"/>
  <c r="CS17" i="4"/>
  <c r="CR17" i="4"/>
  <c r="CO17" i="4"/>
  <c r="BW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AZ17" i="4"/>
  <c r="AW17" i="4"/>
  <c r="AE17" i="4"/>
  <c r="I17" i="4"/>
  <c r="I122" i="4" s="1"/>
  <c r="G17" i="4"/>
  <c r="DM17" i="4" s="1"/>
  <c r="DM16" i="4"/>
  <c r="DK16" i="4"/>
  <c r="DJ16" i="4"/>
  <c r="DI16" i="4"/>
  <c r="DH16" i="4"/>
  <c r="DG16" i="4"/>
  <c r="DF16" i="4"/>
  <c r="DE16" i="4"/>
  <c r="DD16" i="4"/>
  <c r="DC16" i="4"/>
  <c r="DB16" i="4"/>
  <c r="DA16" i="4"/>
  <c r="CZ16" i="4"/>
  <c r="CY16" i="4"/>
  <c r="CX16" i="4"/>
  <c r="CW16" i="4"/>
  <c r="CV16" i="4"/>
  <c r="CU16" i="4"/>
  <c r="CS16" i="4"/>
  <c r="CR16" i="4"/>
  <c r="BX16" i="4"/>
  <c r="CT16" i="4" s="1"/>
  <c r="BU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A16" i="4"/>
  <c r="AZ16" i="4"/>
  <c r="AF16" i="4"/>
  <c r="G16" i="4"/>
  <c r="DM15" i="4"/>
  <c r="DK15" i="4"/>
  <c r="DJ15" i="4"/>
  <c r="DI15" i="4"/>
  <c r="DH15" i="4"/>
  <c r="DG15" i="4"/>
  <c r="DF15" i="4"/>
  <c r="DE15" i="4"/>
  <c r="DD15" i="4"/>
  <c r="DC15" i="4"/>
  <c r="DB15" i="4"/>
  <c r="DA15" i="4"/>
  <c r="CZ15" i="4"/>
  <c r="CY15" i="4"/>
  <c r="CX15" i="4"/>
  <c r="CW15" i="4"/>
  <c r="CV15" i="4"/>
  <c r="CU15" i="4"/>
  <c r="CS15" i="4"/>
  <c r="CR15" i="4"/>
  <c r="BX15" i="4"/>
  <c r="BU15" i="4" s="1"/>
  <c r="BT15" i="4" s="1"/>
  <c r="CP15" i="4" s="1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A15" i="4"/>
  <c r="AZ15" i="4"/>
  <c r="AF15" i="4"/>
  <c r="G15" i="4"/>
  <c r="DK14" i="4"/>
  <c r="DJ14" i="4"/>
  <c r="DI14" i="4"/>
  <c r="DH14" i="4"/>
  <c r="DG14" i="4"/>
  <c r="DF14" i="4"/>
  <c r="DE14" i="4"/>
  <c r="DD14" i="4"/>
  <c r="DC14" i="4"/>
  <c r="DB14" i="4"/>
  <c r="DA14" i="4"/>
  <c r="CZ14" i="4"/>
  <c r="CY14" i="4"/>
  <c r="CX14" i="4"/>
  <c r="CW14" i="4"/>
  <c r="CV14" i="4"/>
  <c r="CT14" i="4"/>
  <c r="CS14" i="4"/>
  <c r="CR14" i="4"/>
  <c r="BY14" i="4"/>
  <c r="CU14" i="4" s="1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A14" i="4"/>
  <c r="AZ14" i="4"/>
  <c r="AG14" i="4"/>
  <c r="AG122" i="4" s="1"/>
  <c r="AF14" i="4"/>
  <c r="BB14" i="4" s="1"/>
  <c r="G14" i="4"/>
  <c r="DM14" i="4" s="1"/>
  <c r="DM13" i="4"/>
  <c r="DK13" i="4"/>
  <c r="DJ13" i="4"/>
  <c r="DI13" i="4"/>
  <c r="DH13" i="4"/>
  <c r="DG13" i="4"/>
  <c r="DF13" i="4"/>
  <c r="DD13" i="4"/>
  <c r="DC13" i="4"/>
  <c r="DB13" i="4"/>
  <c r="DA13" i="4"/>
  <c r="CZ13" i="4"/>
  <c r="CY13" i="4"/>
  <c r="CX13" i="4"/>
  <c r="CW13" i="4"/>
  <c r="CV13" i="4"/>
  <c r="CU13" i="4"/>
  <c r="CS13" i="4"/>
  <c r="CR13" i="4"/>
  <c r="CI13" i="4"/>
  <c r="DE13" i="4" s="1"/>
  <c r="BX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A13" i="4"/>
  <c r="AZ13" i="4"/>
  <c r="AQ13" i="4"/>
  <c r="BM13" i="4" s="1"/>
  <c r="AF13" i="4"/>
  <c r="G13" i="4"/>
  <c r="DJ12" i="4"/>
  <c r="DI12" i="4"/>
  <c r="DI24" i="4" s="1"/>
  <c r="DH12" i="4"/>
  <c r="DG12" i="4"/>
  <c r="DF12" i="4"/>
  <c r="DD12" i="4"/>
  <c r="DC12" i="4"/>
  <c r="DB12" i="4"/>
  <c r="DA12" i="4"/>
  <c r="CZ12" i="4"/>
  <c r="CY12" i="4"/>
  <c r="CX12" i="4"/>
  <c r="CW12" i="4"/>
  <c r="CV12" i="4"/>
  <c r="CU12" i="4"/>
  <c r="CT12" i="4"/>
  <c r="CS12" i="4"/>
  <c r="CR12" i="4"/>
  <c r="CO12" i="4"/>
  <c r="CI12" i="4"/>
  <c r="DE12" i="4" s="1"/>
  <c r="BW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AZ12" i="4"/>
  <c r="AW12" i="4"/>
  <c r="AQ12" i="4"/>
  <c r="AE12" i="4"/>
  <c r="BA12" i="4" s="1"/>
  <c r="AA12" i="4"/>
  <c r="DK11" i="4"/>
  <c r="DJ11" i="4"/>
  <c r="DI11" i="4"/>
  <c r="DH11" i="4"/>
  <c r="DG11" i="4"/>
  <c r="DF11" i="4"/>
  <c r="DE11" i="4"/>
  <c r="DD11" i="4"/>
  <c r="DC11" i="4"/>
  <c r="DB11" i="4"/>
  <c r="DA11" i="4"/>
  <c r="CZ11" i="4"/>
  <c r="CY11" i="4"/>
  <c r="CX11" i="4"/>
  <c r="CW11" i="4"/>
  <c r="CV11" i="4"/>
  <c r="CU11" i="4"/>
  <c r="CT11" i="4"/>
  <c r="CS11" i="4"/>
  <c r="CR11" i="4"/>
  <c r="CQ11" i="4"/>
  <c r="BU11" i="4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BB11" i="4"/>
  <c r="BA11" i="4"/>
  <c r="AZ11" i="4"/>
  <c r="AG11" i="4"/>
  <c r="AC11" i="4"/>
  <c r="G11" i="4"/>
  <c r="DM11" i="4" s="1"/>
  <c r="DM10" i="4"/>
  <c r="DK10" i="4"/>
  <c r="DJ10" i="4"/>
  <c r="DI10" i="4"/>
  <c r="DH10" i="4"/>
  <c r="DG10" i="4"/>
  <c r="DF10" i="4"/>
  <c r="DE10" i="4"/>
  <c r="DD10" i="4"/>
  <c r="DC10" i="4"/>
  <c r="DB10" i="4"/>
  <c r="DA10" i="4"/>
  <c r="CZ10" i="4"/>
  <c r="CY10" i="4"/>
  <c r="CX10" i="4"/>
  <c r="CW10" i="4"/>
  <c r="CV10" i="4"/>
  <c r="CU10" i="4"/>
  <c r="CT10" i="4"/>
  <c r="CR10" i="4"/>
  <c r="BW10" i="4"/>
  <c r="BU10" i="4" s="1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AZ10" i="4"/>
  <c r="AE10" i="4"/>
  <c r="AC10" i="4" s="1"/>
  <c r="AB10" i="4" s="1"/>
  <c r="AX10" i="4" s="1"/>
  <c r="G10" i="4"/>
  <c r="DJ9" i="4"/>
  <c r="DI9" i="4"/>
  <c r="DH9" i="4"/>
  <c r="DG9" i="4"/>
  <c r="DF9" i="4"/>
  <c r="DE9" i="4"/>
  <c r="DD9" i="4"/>
  <c r="DC9" i="4"/>
  <c r="DB9" i="4"/>
  <c r="DA9" i="4"/>
  <c r="CZ9" i="4"/>
  <c r="CY9" i="4"/>
  <c r="CX9" i="4"/>
  <c r="CW9" i="4"/>
  <c r="CV9" i="4"/>
  <c r="CT9" i="4"/>
  <c r="CR9" i="4"/>
  <c r="BY9" i="4"/>
  <c r="BY120" i="4" s="1"/>
  <c r="BW9" i="4"/>
  <c r="CO9" i="4" s="1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B9" i="4"/>
  <c r="AZ9" i="4"/>
  <c r="AW9" i="4"/>
  <c r="AG9" i="4"/>
  <c r="BC9" i="4" s="1"/>
  <c r="AE9" i="4"/>
  <c r="BA9" i="4" s="1"/>
  <c r="AA9" i="4"/>
  <c r="AA120" i="4" s="1"/>
  <c r="I9" i="4"/>
  <c r="G9" i="4"/>
  <c r="DM9" i="4" s="1"/>
  <c r="DK8" i="4"/>
  <c r="DJ8" i="4"/>
  <c r="DI8" i="4"/>
  <c r="DH8" i="4"/>
  <c r="DG8" i="4"/>
  <c r="DF8" i="4"/>
  <c r="DE8" i="4"/>
  <c r="DD8" i="4"/>
  <c r="DD120" i="4" s="1"/>
  <c r="DC8" i="4"/>
  <c r="DC120" i="4" s="1"/>
  <c r="DB8" i="4"/>
  <c r="DA8" i="4"/>
  <c r="CZ8" i="4"/>
  <c r="CY8" i="4"/>
  <c r="CX8" i="4"/>
  <c r="CX120" i="4" s="1"/>
  <c r="CW8" i="4"/>
  <c r="CV8" i="4"/>
  <c r="CV120" i="4" s="1"/>
  <c r="CU8" i="4"/>
  <c r="CT8" i="4"/>
  <c r="CR8" i="4"/>
  <c r="BW8" i="4"/>
  <c r="BU8" i="4" s="1"/>
  <c r="BS8" i="4"/>
  <c r="BR8" i="4"/>
  <c r="BQ8" i="4"/>
  <c r="BP8" i="4"/>
  <c r="BO8" i="4"/>
  <c r="BN8" i="4"/>
  <c r="BM8" i="4"/>
  <c r="BL8" i="4"/>
  <c r="BL120" i="4" s="1"/>
  <c r="BK8" i="4"/>
  <c r="BK120" i="4" s="1"/>
  <c r="BJ8" i="4"/>
  <c r="BI8" i="4"/>
  <c r="BH8" i="4"/>
  <c r="BG8" i="4"/>
  <c r="BF8" i="4"/>
  <c r="BE8" i="4"/>
  <c r="BD8" i="4"/>
  <c r="BD120" i="4" s="1"/>
  <c r="BC8" i="4"/>
  <c r="BB8" i="4"/>
  <c r="AZ8" i="4"/>
  <c r="AE8" i="4"/>
  <c r="AC8" i="4"/>
  <c r="I8" i="4"/>
  <c r="DJ7" i="4"/>
  <c r="DI7" i="4"/>
  <c r="DH7" i="4"/>
  <c r="DG7" i="4"/>
  <c r="DF7" i="4"/>
  <c r="DE7" i="4"/>
  <c r="DD7" i="4"/>
  <c r="DC7" i="4"/>
  <c r="DB7" i="4"/>
  <c r="DA7" i="4"/>
  <c r="CZ7" i="4"/>
  <c r="CY7" i="4"/>
  <c r="CX7" i="4"/>
  <c r="CW7" i="4"/>
  <c r="CV7" i="4"/>
  <c r="CU7" i="4"/>
  <c r="CS7" i="4"/>
  <c r="CR7" i="4"/>
  <c r="CO7" i="4"/>
  <c r="BX7" i="4" s="1"/>
  <c r="BU7" i="4" s="1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A7" i="4"/>
  <c r="AZ7" i="4"/>
  <c r="AW7" i="4"/>
  <c r="AC7" i="4" s="1"/>
  <c r="AF7" i="4"/>
  <c r="BB7" i="4" s="1"/>
  <c r="AA7" i="4"/>
  <c r="G7" i="4"/>
  <c r="DM7" i="4" s="1"/>
  <c r="DJ6" i="4"/>
  <c r="DI6" i="4"/>
  <c r="DH6" i="4"/>
  <c r="DG6" i="4"/>
  <c r="DF6" i="4"/>
  <c r="DD6" i="4"/>
  <c r="DC6" i="4"/>
  <c r="DB6" i="4"/>
  <c r="DA6" i="4"/>
  <c r="CZ6" i="4"/>
  <c r="CY6" i="4"/>
  <c r="CX6" i="4"/>
  <c r="CW6" i="4"/>
  <c r="CV6" i="4"/>
  <c r="CU6" i="4"/>
  <c r="CT6" i="4"/>
  <c r="CR6" i="4"/>
  <c r="CI6" i="4"/>
  <c r="DE6" i="4" s="1"/>
  <c r="BW6" i="4"/>
  <c r="BR6" i="4"/>
  <c r="BQ6" i="4"/>
  <c r="BP6" i="4"/>
  <c r="BO6" i="4"/>
  <c r="BN6" i="4"/>
  <c r="BL6" i="4"/>
  <c r="BK6" i="4"/>
  <c r="BJ6" i="4"/>
  <c r="BI6" i="4"/>
  <c r="BH6" i="4"/>
  <c r="BG6" i="4"/>
  <c r="BF6" i="4"/>
  <c r="BE6" i="4"/>
  <c r="BD6" i="4"/>
  <c r="BC6" i="4"/>
  <c r="BB6" i="4"/>
  <c r="AZ6" i="4"/>
  <c r="AW6" i="4"/>
  <c r="AQ6" i="4"/>
  <c r="BM6" i="4" s="1"/>
  <c r="AE6" i="4"/>
  <c r="AA6" i="4"/>
  <c r="G6" i="4" s="1"/>
  <c r="DM6" i="4" s="1"/>
  <c r="DM5" i="4"/>
  <c r="DJ5" i="4"/>
  <c r="DI5" i="4"/>
  <c r="DH5" i="4"/>
  <c r="DG5" i="4"/>
  <c r="DF5" i="4"/>
  <c r="DD5" i="4"/>
  <c r="DC5" i="4"/>
  <c r="DB5" i="4"/>
  <c r="DA5" i="4"/>
  <c r="CZ5" i="4"/>
  <c r="CY5" i="4"/>
  <c r="CX5" i="4"/>
  <c r="CW5" i="4"/>
  <c r="CV5" i="4"/>
  <c r="CU5" i="4"/>
  <c r="CT5" i="4"/>
  <c r="CR5" i="4"/>
  <c r="CO5" i="4"/>
  <c r="CI5" i="4"/>
  <c r="DE5" i="4" s="1"/>
  <c r="BW5" i="4"/>
  <c r="BR5" i="4"/>
  <c r="BQ5" i="4"/>
  <c r="BP5" i="4"/>
  <c r="BO5" i="4"/>
  <c r="BN5" i="4"/>
  <c r="BL5" i="4"/>
  <c r="BK5" i="4"/>
  <c r="BJ5" i="4"/>
  <c r="BI5" i="4"/>
  <c r="BH5" i="4"/>
  <c r="BG5" i="4"/>
  <c r="BG24" i="4" s="1"/>
  <c r="BF5" i="4"/>
  <c r="BE5" i="4"/>
  <c r="BD5" i="4"/>
  <c r="BC5" i="4"/>
  <c r="BB5" i="4"/>
  <c r="BA5" i="4"/>
  <c r="AZ5" i="4"/>
  <c r="AW5" i="4"/>
  <c r="AC5" i="4" s="1"/>
  <c r="AB5" i="4" s="1"/>
  <c r="AX5" i="4" s="1"/>
  <c r="AQ5" i="4"/>
  <c r="BM5" i="4" s="1"/>
  <c r="AE5" i="4"/>
  <c r="AA5" i="4"/>
  <c r="DK5" i="4" s="1"/>
  <c r="G5" i="4"/>
  <c r="DJ4" i="4"/>
  <c r="DI4" i="4"/>
  <c r="DH4" i="4"/>
  <c r="DG4" i="4"/>
  <c r="DF4" i="4"/>
  <c r="DD4" i="4"/>
  <c r="DC4" i="4"/>
  <c r="DB4" i="4"/>
  <c r="DA4" i="4"/>
  <c r="CZ4" i="4"/>
  <c r="CY4" i="4"/>
  <c r="CX4" i="4"/>
  <c r="CW4" i="4"/>
  <c r="CV4" i="4"/>
  <c r="CU4" i="4"/>
  <c r="CT4" i="4"/>
  <c r="CS4" i="4"/>
  <c r="CR4" i="4"/>
  <c r="CO4" i="4"/>
  <c r="CI4" i="4"/>
  <c r="BW4" i="4"/>
  <c r="BR4" i="4"/>
  <c r="BQ4" i="4"/>
  <c r="BP4" i="4"/>
  <c r="BO4" i="4"/>
  <c r="BO24" i="4" s="1"/>
  <c r="BN4" i="4"/>
  <c r="BL4" i="4"/>
  <c r="BK4" i="4"/>
  <c r="BJ4" i="4"/>
  <c r="BJ24" i="4" s="1"/>
  <c r="BI4" i="4"/>
  <c r="BH4" i="4"/>
  <c r="BG4" i="4"/>
  <c r="BF4" i="4"/>
  <c r="BE4" i="4"/>
  <c r="BD4" i="4"/>
  <c r="BC4" i="4"/>
  <c r="BB4" i="4"/>
  <c r="AZ4" i="4"/>
  <c r="AW4" i="4"/>
  <c r="BS4" i="4" s="1"/>
  <c r="AQ4" i="4"/>
  <c r="BM4" i="4" s="1"/>
  <c r="AE4" i="4"/>
  <c r="BA4" i="4" s="1"/>
  <c r="AA4" i="4"/>
  <c r="G4" i="4"/>
  <c r="AR3" i="4"/>
  <c r="BN3" i="4" s="1"/>
  <c r="CJ3" i="4" s="1"/>
  <c r="DF3" i="4" s="1"/>
  <c r="AW120" i="4" l="1"/>
  <c r="CO27" i="4"/>
  <c r="DK27" i="4" s="1"/>
  <c r="CQ27" i="4" s="1"/>
  <c r="AC52" i="4"/>
  <c r="AB52" i="4" s="1"/>
  <c r="AX52" i="4" s="1"/>
  <c r="AF119" i="4"/>
  <c r="AE126" i="4"/>
  <c r="DG86" i="4"/>
  <c r="CQ86" i="4" s="1"/>
  <c r="DO86" i="4" s="1"/>
  <c r="CT15" i="4"/>
  <c r="BA61" i="4"/>
  <c r="BB105" i="4"/>
  <c r="CS109" i="4"/>
  <c r="BN99" i="4"/>
  <c r="BU12" i="4"/>
  <c r="DD103" i="4"/>
  <c r="CQ15" i="4"/>
  <c r="DO15" i="4" s="1"/>
  <c r="AZ99" i="4"/>
  <c r="BU4" i="4"/>
  <c r="BT4" i="4" s="1"/>
  <c r="CP4" i="4" s="1"/>
  <c r="BU38" i="4"/>
  <c r="AC55" i="4"/>
  <c r="AB55" i="4" s="1"/>
  <c r="AX55" i="4" s="1"/>
  <c r="BS60" i="4"/>
  <c r="AY60" i="4" s="1"/>
  <c r="BU70" i="4"/>
  <c r="BT70" i="4" s="1"/>
  <c r="CP70" i="4" s="1"/>
  <c r="AS126" i="4"/>
  <c r="AC90" i="4"/>
  <c r="BU107" i="4"/>
  <c r="BS51" i="4"/>
  <c r="AY51" i="4" s="1"/>
  <c r="DN51" i="4" s="1"/>
  <c r="BB25" i="4"/>
  <c r="AY26" i="4"/>
  <c r="AY41" i="4"/>
  <c r="DN41" i="4" s="1"/>
  <c r="BO82" i="4"/>
  <c r="AY91" i="4"/>
  <c r="CJ61" i="4"/>
  <c r="BU61" i="4" s="1"/>
  <c r="BK63" i="4"/>
  <c r="CQ65" i="4"/>
  <c r="BA73" i="4"/>
  <c r="AY73" i="4" s="1"/>
  <c r="DN73" i="4" s="1"/>
  <c r="BA85" i="4"/>
  <c r="AS125" i="4"/>
  <c r="AS127" i="4" s="1"/>
  <c r="CT41" i="4"/>
  <c r="BR107" i="4"/>
  <c r="BR124" i="4" s="1"/>
  <c r="AY124" i="4" s="1"/>
  <c r="BA10" i="4"/>
  <c r="AY10" i="4" s="1"/>
  <c r="DN10" i="4" s="1"/>
  <c r="BB23" i="4"/>
  <c r="AY23" i="4" s="1"/>
  <c r="AC34" i="4"/>
  <c r="BU35" i="4"/>
  <c r="DO35" i="4" s="1"/>
  <c r="AB51" i="4"/>
  <c r="AX51" i="4" s="1"/>
  <c r="AC63" i="4"/>
  <c r="AB63" i="4" s="1"/>
  <c r="AX63" i="4" s="1"/>
  <c r="AC65" i="4"/>
  <c r="AC84" i="4"/>
  <c r="AB84" i="4" s="1"/>
  <c r="AX84" i="4" s="1"/>
  <c r="AC6" i="4"/>
  <c r="BU18" i="4"/>
  <c r="BT18" i="4" s="1"/>
  <c r="CP18" i="4" s="1"/>
  <c r="BU23" i="4"/>
  <c r="BT23" i="4" s="1"/>
  <c r="CP23" i="4" s="1"/>
  <c r="AW57" i="4"/>
  <c r="BU36" i="4"/>
  <c r="AC58" i="4"/>
  <c r="AQ123" i="4"/>
  <c r="AC82" i="4"/>
  <c r="AB82" i="4" s="1"/>
  <c r="AX82" i="4" s="1"/>
  <c r="DK7" i="4"/>
  <c r="CT7" i="4"/>
  <c r="BC14" i="4"/>
  <c r="AY14" i="4" s="1"/>
  <c r="CJ49" i="4"/>
  <c r="CJ121" i="4" s="1"/>
  <c r="CS55" i="4"/>
  <c r="CQ55" i="4" s="1"/>
  <c r="DF62" i="4"/>
  <c r="CQ62" i="4" s="1"/>
  <c r="AC4" i="4"/>
  <c r="AB4" i="4" s="1"/>
  <c r="AX4" i="4" s="1"/>
  <c r="BA6" i="4"/>
  <c r="CQ51" i="4"/>
  <c r="AY65" i="4"/>
  <c r="CR84" i="4"/>
  <c r="CQ84" i="4" s="1"/>
  <c r="DF87" i="4"/>
  <c r="DF126" i="4" s="1"/>
  <c r="CS92" i="4"/>
  <c r="CQ92" i="4" s="1"/>
  <c r="DO92" i="4" s="1"/>
  <c r="BH118" i="4"/>
  <c r="DD118" i="4"/>
  <c r="AC101" i="4"/>
  <c r="AB101" i="4" s="1"/>
  <c r="AX101" i="4" s="1"/>
  <c r="CO103" i="4"/>
  <c r="DK103" i="4" s="1"/>
  <c r="DI107" i="4"/>
  <c r="DI124" i="4" s="1"/>
  <c r="CM114" i="4"/>
  <c r="CM116" i="4" s="1"/>
  <c r="CZ118" i="4"/>
  <c r="AY110" i="4"/>
  <c r="DN110" i="4" s="1"/>
  <c r="CQ50" i="4"/>
  <c r="BU58" i="4"/>
  <c r="CT93" i="4"/>
  <c r="CT126" i="4" s="1"/>
  <c r="AE122" i="4"/>
  <c r="CQ10" i="4"/>
  <c r="DO10" i="4" s="1"/>
  <c r="AY67" i="4"/>
  <c r="BA76" i="4"/>
  <c r="AY76" i="4" s="1"/>
  <c r="DN76" i="4" s="1"/>
  <c r="AO79" i="4"/>
  <c r="BL87" i="4"/>
  <c r="CO89" i="4"/>
  <c r="BU89" i="4" s="1"/>
  <c r="BW94" i="4"/>
  <c r="DI114" i="4"/>
  <c r="DJ107" i="4"/>
  <c r="DJ124" i="4" s="1"/>
  <c r="CQ124" i="4" s="1"/>
  <c r="CS110" i="4"/>
  <c r="CQ110" i="4" s="1"/>
  <c r="DO110" i="4" s="1"/>
  <c r="AQ24" i="4"/>
  <c r="BY55" i="4"/>
  <c r="CU55" i="4" s="1"/>
  <c r="CY99" i="4"/>
  <c r="CY114" i="4" s="1"/>
  <c r="BA110" i="4"/>
  <c r="AF24" i="4"/>
  <c r="CQ29" i="4"/>
  <c r="DO29" i="4" s="1"/>
  <c r="CT52" i="4"/>
  <c r="CQ52" i="4" s="1"/>
  <c r="DO52" i="4" s="1"/>
  <c r="BH99" i="4"/>
  <c r="AQ119" i="4"/>
  <c r="CU9" i="4"/>
  <c r="CU120" i="4" s="1"/>
  <c r="CS10" i="4"/>
  <c r="DK12" i="4"/>
  <c r="CQ12" i="4" s="1"/>
  <c r="AC14" i="4"/>
  <c r="BT21" i="4"/>
  <c r="CP21" i="4" s="1"/>
  <c r="BU29" i="4"/>
  <c r="BT29" i="4" s="1"/>
  <c r="CP29" i="4" s="1"/>
  <c r="BU39" i="4"/>
  <c r="BN46" i="4"/>
  <c r="BN57" i="4" s="1"/>
  <c r="BU50" i="4"/>
  <c r="BT50" i="4" s="1"/>
  <c r="CP50" i="4" s="1"/>
  <c r="CS54" i="4"/>
  <c r="CQ54" i="4" s="1"/>
  <c r="AY63" i="4"/>
  <c r="AY64" i="4"/>
  <c r="DN64" i="4" s="1"/>
  <c r="AC66" i="4"/>
  <c r="AB66" i="4" s="1"/>
  <c r="AX66" i="4" s="1"/>
  <c r="BA68" i="4"/>
  <c r="AY68" i="4" s="1"/>
  <c r="DN68" i="4" s="1"/>
  <c r="CQ77" i="4"/>
  <c r="AC88" i="4"/>
  <c r="AC91" i="4"/>
  <c r="CI94" i="4"/>
  <c r="BO86" i="4"/>
  <c r="AY86" i="4" s="1"/>
  <c r="DN86" i="4" s="1"/>
  <c r="CT94" i="4"/>
  <c r="AS94" i="4"/>
  <c r="AS116" i="4" s="1"/>
  <c r="AC106" i="4"/>
  <c r="AB106" i="4" s="1"/>
  <c r="AX106" i="4" s="1"/>
  <c r="AO116" i="4"/>
  <c r="AY29" i="4"/>
  <c r="AC12" i="4"/>
  <c r="AC21" i="4"/>
  <c r="AB21" i="4" s="1"/>
  <c r="AX21" i="4" s="1"/>
  <c r="AL116" i="4"/>
  <c r="BU27" i="4"/>
  <c r="BU37" i="4"/>
  <c r="BT37" i="4" s="1"/>
  <c r="CP37" i="4" s="1"/>
  <c r="CQ41" i="4"/>
  <c r="DO41" i="4" s="1"/>
  <c r="AF57" i="4"/>
  <c r="DC63" i="4"/>
  <c r="CQ63" i="4" s="1"/>
  <c r="AQ79" i="4"/>
  <c r="AY82" i="4"/>
  <c r="CQ85" i="4"/>
  <c r="BU93" i="4"/>
  <c r="BT93" i="4" s="1"/>
  <c r="CP93" i="4" s="1"/>
  <c r="CJ94" i="4"/>
  <c r="CY118" i="4"/>
  <c r="BB100" i="4"/>
  <c r="DF101" i="4"/>
  <c r="BN106" i="4"/>
  <c r="CC114" i="4"/>
  <c r="CC116" i="4" s="1"/>
  <c r="CC128" i="4" s="1"/>
  <c r="CK125" i="4"/>
  <c r="BT36" i="4"/>
  <c r="CP36" i="4" s="1"/>
  <c r="BT56" i="4"/>
  <c r="CP56" i="4" s="1"/>
  <c r="BU17" i="4"/>
  <c r="DK17" i="4"/>
  <c r="X116" i="4"/>
  <c r="X128" i="4" s="1"/>
  <c r="BI121" i="4"/>
  <c r="BI125" i="4" s="1"/>
  <c r="BI127" i="4" s="1"/>
  <c r="BI57" i="4"/>
  <c r="CU24" i="4"/>
  <c r="BU6" i="4"/>
  <c r="CS6" i="4"/>
  <c r="CQ6" i="4" s="1"/>
  <c r="CO120" i="4"/>
  <c r="BU120" i="4" s="1"/>
  <c r="DK9" i="4"/>
  <c r="BU9" i="4"/>
  <c r="DO11" i="4"/>
  <c r="BT11" i="4"/>
  <c r="CP11" i="4" s="1"/>
  <c r="BT16" i="4"/>
  <c r="CP16" i="4" s="1"/>
  <c r="BH57" i="4"/>
  <c r="BU28" i="4"/>
  <c r="DF28" i="4"/>
  <c r="BW121" i="4"/>
  <c r="BU31" i="4"/>
  <c r="CS31" i="4"/>
  <c r="CQ31" i="4" s="1"/>
  <c r="BW57" i="4"/>
  <c r="AY70" i="4"/>
  <c r="CI24" i="4"/>
  <c r="DC24" i="4"/>
  <c r="I120" i="4"/>
  <c r="CS8" i="4"/>
  <c r="CQ8" i="4" s="1"/>
  <c r="DO8" i="4" s="1"/>
  <c r="G8" i="4"/>
  <c r="BA8" i="4"/>
  <c r="I24" i="4"/>
  <c r="AC9" i="4"/>
  <c r="BU13" i="4"/>
  <c r="CT13" i="4"/>
  <c r="CQ13" i="4" s="1"/>
  <c r="CQ16" i="4"/>
  <c r="DO16" i="4" s="1"/>
  <c r="AY28" i="4"/>
  <c r="CV57" i="4"/>
  <c r="CQ30" i="4"/>
  <c r="DM30" i="4"/>
  <c r="CQ35" i="4"/>
  <c r="AY49" i="4"/>
  <c r="BQ57" i="4"/>
  <c r="DN65" i="4"/>
  <c r="AB65" i="4"/>
  <c r="AX65" i="4" s="1"/>
  <c r="CV126" i="4"/>
  <c r="CV94" i="4"/>
  <c r="AB6" i="4"/>
  <c r="AX6" i="4" s="1"/>
  <c r="DD57" i="4"/>
  <c r="DG122" i="4"/>
  <c r="DG24" i="4"/>
  <c r="AE24" i="4"/>
  <c r="BA33" i="4"/>
  <c r="AY33" i="4" s="1"/>
  <c r="DN33" i="4" s="1"/>
  <c r="G33" i="4"/>
  <c r="G121" i="4" s="1"/>
  <c r="DM121" i="4" s="1"/>
  <c r="CS33" i="4"/>
  <c r="CQ33" i="4" s="1"/>
  <c r="DO33" i="4" s="1"/>
  <c r="CG121" i="4"/>
  <c r="BU45" i="4"/>
  <c r="CG57" i="4"/>
  <c r="DO54" i="4"/>
  <c r="CZ123" i="4"/>
  <c r="CZ79" i="4"/>
  <c r="DH123" i="4"/>
  <c r="DH79" i="4"/>
  <c r="AY75" i="4"/>
  <c r="DN75" i="4" s="1"/>
  <c r="BU76" i="4"/>
  <c r="CS76" i="4"/>
  <c r="AY4" i="4"/>
  <c r="BI122" i="4"/>
  <c r="BI24" i="4"/>
  <c r="BQ122" i="4"/>
  <c r="BQ24" i="4"/>
  <c r="CY122" i="4"/>
  <c r="AW24" i="4"/>
  <c r="BT7" i="4"/>
  <c r="CP7" i="4" s="1"/>
  <c r="CT120" i="4"/>
  <c r="DB120" i="4"/>
  <c r="DJ120" i="4"/>
  <c r="BT10" i="4"/>
  <c r="CP10" i="4" s="1"/>
  <c r="BC11" i="4"/>
  <c r="AY11" i="4" s="1"/>
  <c r="DN11" i="4" s="1"/>
  <c r="AG24" i="4"/>
  <c r="AC16" i="4"/>
  <c r="BB16" i="4"/>
  <c r="AY16" i="4" s="1"/>
  <c r="BU34" i="4"/>
  <c r="CR123" i="4"/>
  <c r="CR79" i="4"/>
  <c r="AZ79" i="4"/>
  <c r="DO62" i="4"/>
  <c r="BJ100" i="4"/>
  <c r="BJ119" i="4" s="1"/>
  <c r="AN119" i="4"/>
  <c r="AN114" i="4"/>
  <c r="AN116" i="4" s="1"/>
  <c r="BU5" i="4"/>
  <c r="CS5" i="4"/>
  <c r="CS122" i="4" s="1"/>
  <c r="BW24" i="4"/>
  <c r="AC17" i="4"/>
  <c r="BS17" i="4"/>
  <c r="AB11" i="4"/>
  <c r="AX11" i="4" s="1"/>
  <c r="AA24" i="4"/>
  <c r="AA116" i="4" s="1"/>
  <c r="BR122" i="4"/>
  <c r="BR24" i="4"/>
  <c r="AY9" i="4"/>
  <c r="BS12" i="4"/>
  <c r="AC13" i="4"/>
  <c r="BB13" i="4"/>
  <c r="AY13" i="4" s="1"/>
  <c r="BB15" i="4"/>
  <c r="AC15" i="4"/>
  <c r="G18" i="4"/>
  <c r="DM18" i="4" s="1"/>
  <c r="BS18" i="4"/>
  <c r="DK18" i="4"/>
  <c r="CQ18" i="4" s="1"/>
  <c r="N128" i="4"/>
  <c r="CE128" i="4"/>
  <c r="DB121" i="4"/>
  <c r="DB57" i="4"/>
  <c r="DJ121" i="4"/>
  <c r="DJ57" i="4"/>
  <c r="BE57" i="4"/>
  <c r="BM57" i="4"/>
  <c r="CT36" i="4"/>
  <c r="BX57" i="4"/>
  <c r="K121" i="4"/>
  <c r="K57" i="4"/>
  <c r="CU53" i="4"/>
  <c r="CU57" i="4" s="1"/>
  <c r="G53" i="4"/>
  <c r="AB53" i="4" s="1"/>
  <c r="AX53" i="4" s="1"/>
  <c r="BC53" i="4"/>
  <c r="BG123" i="4"/>
  <c r="BG79" i="4"/>
  <c r="BO122" i="4"/>
  <c r="BO79" i="4"/>
  <c r="BU22" i="4"/>
  <c r="CS22" i="4"/>
  <c r="AY25" i="4"/>
  <c r="AB34" i="4"/>
  <c r="AX34" i="4" s="1"/>
  <c r="DF24" i="4"/>
  <c r="AR121" i="4"/>
  <c r="AC28" i="4"/>
  <c r="AR57" i="4"/>
  <c r="CX122" i="4"/>
  <c r="BJ122" i="4"/>
  <c r="CR24" i="4"/>
  <c r="CZ24" i="4"/>
  <c r="BK24" i="4"/>
  <c r="G12" i="4"/>
  <c r="G24" i="4" s="1"/>
  <c r="CU122" i="4"/>
  <c r="CX24" i="4"/>
  <c r="AZ57" i="4"/>
  <c r="CU121" i="4"/>
  <c r="DK121" i="4"/>
  <c r="DK57" i="4"/>
  <c r="AY43" i="4"/>
  <c r="DN43" i="4" s="1"/>
  <c r="S121" i="4"/>
  <c r="S125" i="4" s="1"/>
  <c r="S127" i="4" s="1"/>
  <c r="DC45" i="4"/>
  <c r="CQ45" i="4" s="1"/>
  <c r="S57" i="4"/>
  <c r="BK45" i="4"/>
  <c r="AY45" i="4" s="1"/>
  <c r="G45" i="4"/>
  <c r="DM45" i="4" s="1"/>
  <c r="AY50" i="4"/>
  <c r="AB54" i="4"/>
  <c r="AX54" i="4" s="1"/>
  <c r="CW126" i="4"/>
  <c r="CW94" i="4"/>
  <c r="BS88" i="4"/>
  <c r="CR88" i="4"/>
  <c r="CO88" i="4"/>
  <c r="BU88" i="4" s="1"/>
  <c r="CQ17" i="4"/>
  <c r="BR121" i="4"/>
  <c r="BR57" i="4"/>
  <c r="AB56" i="4"/>
  <c r="AX56" i="4" s="1"/>
  <c r="AY59" i="4"/>
  <c r="DN59" i="4" s="1"/>
  <c r="CS72" i="4"/>
  <c r="CQ72" i="4" s="1"/>
  <c r="BU72" i="4"/>
  <c r="CR81" i="4"/>
  <c r="CQ81" i="4" s="1"/>
  <c r="G81" i="4"/>
  <c r="DM81" i="4" s="1"/>
  <c r="AZ81" i="4"/>
  <c r="AY81" i="4" s="1"/>
  <c r="DN81" i="4" s="1"/>
  <c r="BS87" i="4"/>
  <c r="DK87" i="4"/>
  <c r="G87" i="4"/>
  <c r="DM87" i="4" s="1"/>
  <c r="AA94" i="4"/>
  <c r="AB96" i="4"/>
  <c r="AX96" i="4" s="1"/>
  <c r="DN96" i="4"/>
  <c r="DM98" i="4"/>
  <c r="G118" i="4"/>
  <c r="AB98" i="4"/>
  <c r="AX98" i="4" s="1"/>
  <c r="BJ118" i="4"/>
  <c r="BX118" i="4"/>
  <c r="BU99" i="4"/>
  <c r="BX114" i="4"/>
  <c r="CT99" i="4"/>
  <c r="CT114" i="4" s="1"/>
  <c r="AZ119" i="4"/>
  <c r="AQ122" i="4"/>
  <c r="BD122" i="4"/>
  <c r="BL122" i="4"/>
  <c r="DA122" i="4"/>
  <c r="DI122" i="4"/>
  <c r="AB7" i="4"/>
  <c r="AX7" i="4" s="1"/>
  <c r="BS7" i="4"/>
  <c r="AY7" i="4" s="1"/>
  <c r="DN7" i="4" s="1"/>
  <c r="AE120" i="4"/>
  <c r="BM12" i="4"/>
  <c r="BM24" i="4" s="1"/>
  <c r="AC18" i="4"/>
  <c r="BL24" i="4"/>
  <c r="DA24" i="4"/>
  <c r="DM25" i="4"/>
  <c r="CW121" i="4"/>
  <c r="DE121" i="4"/>
  <c r="DN29" i="4"/>
  <c r="AB29" i="4"/>
  <c r="AX29" i="4" s="1"/>
  <c r="AB31" i="4"/>
  <c r="AX31" i="4" s="1"/>
  <c r="DO32" i="4"/>
  <c r="AC37" i="4"/>
  <c r="BS37" i="4"/>
  <c r="AY37" i="4" s="1"/>
  <c r="AC38" i="4"/>
  <c r="CQ44" i="4"/>
  <c r="DO44" i="4" s="1"/>
  <c r="AC46" i="4"/>
  <c r="BU46" i="4"/>
  <c r="DF46" i="4"/>
  <c r="AC50" i="4"/>
  <c r="V57" i="4"/>
  <c r="V116" i="4" s="1"/>
  <c r="BI123" i="4"/>
  <c r="BI79" i="4"/>
  <c r="BQ123" i="4"/>
  <c r="G59" i="4"/>
  <c r="DA79" i="4"/>
  <c r="BT66" i="4"/>
  <c r="CP66" i="4" s="1"/>
  <c r="BT78" i="4"/>
  <c r="CP78" i="4" s="1"/>
  <c r="BD94" i="4"/>
  <c r="AC87" i="4"/>
  <c r="AZ87" i="4"/>
  <c r="BY119" i="4"/>
  <c r="CU100" i="4"/>
  <c r="CU119" i="4" s="1"/>
  <c r="BU100" i="4"/>
  <c r="CJ120" i="4"/>
  <c r="BU113" i="4"/>
  <c r="DF113" i="4"/>
  <c r="DF120" i="4" s="1"/>
  <c r="AY15" i="4"/>
  <c r="BT32" i="4"/>
  <c r="CP32" i="4" s="1"/>
  <c r="AC36" i="4"/>
  <c r="BB36" i="4"/>
  <c r="AY36" i="4" s="1"/>
  <c r="DH38" i="4"/>
  <c r="CQ38" i="4" s="1"/>
  <c r="DO38" i="4" s="1"/>
  <c r="X121" i="4"/>
  <c r="X125" i="4" s="1"/>
  <c r="X127" i="4" s="1"/>
  <c r="BP38" i="4"/>
  <c r="BP121" i="4" s="1"/>
  <c r="G38" i="4"/>
  <c r="DM38" i="4" s="1"/>
  <c r="DB123" i="4"/>
  <c r="AB20" i="4"/>
  <c r="AX20" i="4" s="1"/>
  <c r="DN20" i="4"/>
  <c r="BL121" i="4"/>
  <c r="BL57" i="4"/>
  <c r="DO26" i="4"/>
  <c r="CQ32" i="4"/>
  <c r="CQ37" i="4"/>
  <c r="DO37" i="4" s="1"/>
  <c r="AC39" i="4"/>
  <c r="BB39" i="4"/>
  <c r="AY39" i="4" s="1"/>
  <c r="BT60" i="4"/>
  <c r="CP60" i="4" s="1"/>
  <c r="V123" i="4"/>
  <c r="V79" i="4"/>
  <c r="BN61" i="4"/>
  <c r="AY61" i="4" s="1"/>
  <c r="DN61" i="4" s="1"/>
  <c r="CQ66" i="4"/>
  <c r="DO66" i="4" s="1"/>
  <c r="CZ126" i="4"/>
  <c r="CZ94" i="4"/>
  <c r="DH126" i="4"/>
  <c r="DH94" i="4"/>
  <c r="BQ94" i="4"/>
  <c r="DM95" i="4"/>
  <c r="BT95" i="4"/>
  <c r="CP95" i="4" s="1"/>
  <c r="AB95" i="4"/>
  <c r="AX95" i="4" s="1"/>
  <c r="DO95" i="4"/>
  <c r="DG114" i="4"/>
  <c r="CB118" i="4"/>
  <c r="CB125" i="4" s="1"/>
  <c r="CB127" i="4" s="1"/>
  <c r="CB114" i="4"/>
  <c r="CB116" i="4" s="1"/>
  <c r="CB128" i="4" s="1"/>
  <c r="CX99" i="4"/>
  <c r="CX118" i="4" s="1"/>
  <c r="AR122" i="4"/>
  <c r="BN112" i="4"/>
  <c r="AC112" i="4"/>
  <c r="BF122" i="4"/>
  <c r="BF24" i="4"/>
  <c r="BN24" i="4"/>
  <c r="BW122" i="4"/>
  <c r="DC122" i="4"/>
  <c r="DK4" i="4"/>
  <c r="BS5" i="4"/>
  <c r="AY5" i="4" s="1"/>
  <c r="DN5" i="4" s="1"/>
  <c r="BS6" i="4"/>
  <c r="AF122" i="4"/>
  <c r="AZ120" i="4"/>
  <c r="BH120" i="4"/>
  <c r="BP120" i="4"/>
  <c r="CY120" i="4"/>
  <c r="DG120" i="4"/>
  <c r="CS9" i="4"/>
  <c r="CQ9" i="4" s="1"/>
  <c r="BY122" i="4"/>
  <c r="BU14" i="4"/>
  <c r="CQ21" i="4"/>
  <c r="DO21" i="4" s="1"/>
  <c r="BS22" i="4"/>
  <c r="BX121" i="4"/>
  <c r="BU25" i="4"/>
  <c r="AC26" i="4"/>
  <c r="CQ39" i="4"/>
  <c r="DO39" i="4" s="1"/>
  <c r="BN40" i="4"/>
  <c r="CQ40" i="4"/>
  <c r="DO40" i="4" s="1"/>
  <c r="AB42" i="4"/>
  <c r="AX42" i="4" s="1"/>
  <c r="X57" i="4"/>
  <c r="CW57" i="4"/>
  <c r="AA123" i="4"/>
  <c r="G58" i="4"/>
  <c r="DK58" i="4"/>
  <c r="AA79" i="4"/>
  <c r="BC123" i="4"/>
  <c r="BC79" i="4"/>
  <c r="BK123" i="4"/>
  <c r="BK79" i="4"/>
  <c r="BS58" i="4"/>
  <c r="CX79" i="4"/>
  <c r="BA72" i="4"/>
  <c r="AC72" i="4"/>
  <c r="BA77" i="4"/>
  <c r="G77" i="4"/>
  <c r="DM77" i="4" s="1"/>
  <c r="AB86" i="4"/>
  <c r="AX86" i="4" s="1"/>
  <c r="CA119" i="4"/>
  <c r="CA125" i="4" s="1"/>
  <c r="CA127" i="4" s="1"/>
  <c r="CA114" i="4"/>
  <c r="CA116" i="4" s="1"/>
  <c r="CO102" i="4"/>
  <c r="DK102" i="4" s="1"/>
  <c r="CJ114" i="4"/>
  <c r="DF106" i="4"/>
  <c r="BK122" i="4"/>
  <c r="CR122" i="4"/>
  <c r="DH122" i="4"/>
  <c r="BM120" i="4"/>
  <c r="BJ121" i="4"/>
  <c r="BJ57" i="4"/>
  <c r="DO30" i="4"/>
  <c r="AC35" i="4"/>
  <c r="BA35" i="4"/>
  <c r="AY35" i="4" s="1"/>
  <c r="BT38" i="4"/>
  <c r="CP38" i="4" s="1"/>
  <c r="BT39" i="4"/>
  <c r="CP39" i="4" s="1"/>
  <c r="BT42" i="4"/>
  <c r="CP42" i="4" s="1"/>
  <c r="DO42" i="4"/>
  <c r="AC44" i="4"/>
  <c r="BS44" i="4"/>
  <c r="AY44" i="4" s="1"/>
  <c r="DO50" i="4"/>
  <c r="AG57" i="4"/>
  <c r="AW122" i="4"/>
  <c r="CQ43" i="4"/>
  <c r="DO43" i="4" s="1"/>
  <c r="BG122" i="4"/>
  <c r="DM20" i="4"/>
  <c r="AC22" i="4"/>
  <c r="K116" i="4"/>
  <c r="S116" i="4"/>
  <c r="BD24" i="4"/>
  <c r="BF121" i="4"/>
  <c r="CR121" i="4"/>
  <c r="CQ25" i="4"/>
  <c r="CR57" i="4"/>
  <c r="CZ121" i="4"/>
  <c r="AC27" i="4"/>
  <c r="BB27" i="4"/>
  <c r="AY32" i="4"/>
  <c r="DN32" i="4" s="1"/>
  <c r="CQ46" i="4"/>
  <c r="BC55" i="4"/>
  <c r="BC121" i="4" s="1"/>
  <c r="CZ57" i="4"/>
  <c r="AB60" i="4"/>
  <c r="AX60" i="4" s="1"/>
  <c r="DN60" i="4"/>
  <c r="AB61" i="4"/>
  <c r="AX61" i="4" s="1"/>
  <c r="DM63" i="4"/>
  <c r="DN66" i="4"/>
  <c r="AC70" i="4"/>
  <c r="BA70" i="4"/>
  <c r="AQ126" i="4"/>
  <c r="BM85" i="4"/>
  <c r="AY85" i="4" s="1"/>
  <c r="AQ94" i="4"/>
  <c r="AC85" i="4"/>
  <c r="AY88" i="4"/>
  <c r="DN88" i="4" s="1"/>
  <c r="BX119" i="4"/>
  <c r="CO101" i="4"/>
  <c r="BU101" i="4" s="1"/>
  <c r="BM107" i="4"/>
  <c r="BM124" i="4" s="1"/>
  <c r="AC107" i="4"/>
  <c r="AQ124" i="4"/>
  <c r="CZ114" i="4"/>
  <c r="DE126" i="4"/>
  <c r="DE94" i="4"/>
  <c r="CZ122" i="4"/>
  <c r="BE120" i="4"/>
  <c r="AB12" i="4"/>
  <c r="AX12" i="4" s="1"/>
  <c r="AY22" i="4"/>
  <c r="BY121" i="4"/>
  <c r="BY57" i="4"/>
  <c r="CT123" i="4"/>
  <c r="CT79" i="4"/>
  <c r="DJ123" i="4"/>
  <c r="DJ79" i="4"/>
  <c r="BE122" i="4"/>
  <c r="CT24" i="4"/>
  <c r="DB122" i="4"/>
  <c r="DB24" i="4"/>
  <c r="DJ122" i="4"/>
  <c r="DJ24" i="4"/>
  <c r="BG120" i="4"/>
  <c r="BO120" i="4"/>
  <c r="BD121" i="4"/>
  <c r="CX57" i="4"/>
  <c r="AY34" i="4"/>
  <c r="DN34" i="4" s="1"/>
  <c r="AT121" i="4"/>
  <c r="AT125" i="4" s="1"/>
  <c r="AT127" i="4" s="1"/>
  <c r="AT57" i="4"/>
  <c r="AT116" i="4" s="1"/>
  <c r="BT48" i="4"/>
  <c r="CP48" i="4" s="1"/>
  <c r="DO48" i="4"/>
  <c r="AY52" i="4"/>
  <c r="G122" i="4"/>
  <c r="DM122" i="4" s="1"/>
  <c r="BO121" i="4"/>
  <c r="CI122" i="4"/>
  <c r="CV122" i="4"/>
  <c r="CV24" i="4"/>
  <c r="DD122" i="4"/>
  <c r="DD24" i="4"/>
  <c r="DM4" i="4"/>
  <c r="DK6" i="4"/>
  <c r="BX122" i="4"/>
  <c r="BX24" i="4"/>
  <c r="BI120" i="4"/>
  <c r="BQ120" i="4"/>
  <c r="CR120" i="4"/>
  <c r="CZ120" i="4"/>
  <c r="DH120" i="4"/>
  <c r="AA122" i="4"/>
  <c r="AZ122" i="4"/>
  <c r="AZ24" i="4"/>
  <c r="BH122" i="4"/>
  <c r="BH24" i="4"/>
  <c r="BP122" i="4"/>
  <c r="BP24" i="4"/>
  <c r="CO122" i="4"/>
  <c r="CO24" i="4"/>
  <c r="CW122" i="4"/>
  <c r="CW24" i="4"/>
  <c r="DE4" i="4"/>
  <c r="BB120" i="4"/>
  <c r="BJ120" i="4"/>
  <c r="BR120" i="4"/>
  <c r="DA120" i="4"/>
  <c r="DI120" i="4"/>
  <c r="CQ14" i="4"/>
  <c r="AY18" i="4"/>
  <c r="AB19" i="4"/>
  <c r="AX19" i="4" s="1"/>
  <c r="DN19" i="4"/>
  <c r="DK22" i="4"/>
  <c r="CQ23" i="4"/>
  <c r="BE24" i="4"/>
  <c r="DH24" i="4"/>
  <c r="BG57" i="4"/>
  <c r="DA121" i="4"/>
  <c r="DA57" i="4"/>
  <c r="DI121" i="4"/>
  <c r="AW121" i="4"/>
  <c r="BS27" i="4"/>
  <c r="CO57" i="4"/>
  <c r="DN49" i="4"/>
  <c r="DM51" i="4"/>
  <c r="CL57" i="4"/>
  <c r="CL116" i="4" s="1"/>
  <c r="CY123" i="4"/>
  <c r="CY79" i="4"/>
  <c r="DG79" i="4"/>
  <c r="DG123" i="4"/>
  <c r="DF61" i="4"/>
  <c r="DN62" i="4"/>
  <c r="AB75" i="4"/>
  <c r="AX75" i="4" s="1"/>
  <c r="AR79" i="4"/>
  <c r="AH119" i="4"/>
  <c r="AH125" i="4" s="1"/>
  <c r="AH127" i="4" s="1"/>
  <c r="BD100" i="4"/>
  <c r="BD119" i="4" s="1"/>
  <c r="AH114" i="4"/>
  <c r="AH116" i="4" s="1"/>
  <c r="CW102" i="4"/>
  <c r="BA109" i="4"/>
  <c r="AY109" i="4" s="1"/>
  <c r="AC109" i="4"/>
  <c r="AE114" i="4"/>
  <c r="BY114" i="4"/>
  <c r="BF120" i="4"/>
  <c r="BW120" i="4"/>
  <c r="CW120" i="4"/>
  <c r="DE120" i="4"/>
  <c r="AG120" i="4"/>
  <c r="BA17" i="4"/>
  <c r="AY17" i="4" s="1"/>
  <c r="J116" i="4"/>
  <c r="J128" i="4" s="1"/>
  <c r="R116" i="4"/>
  <c r="Z116" i="4"/>
  <c r="Z128" i="4" s="1"/>
  <c r="AF121" i="4"/>
  <c r="BE121" i="4"/>
  <c r="BM121" i="4"/>
  <c r="CV121" i="4"/>
  <c r="DD121" i="4"/>
  <c r="BA31" i="4"/>
  <c r="I121" i="4"/>
  <c r="BB53" i="4"/>
  <c r="AY53" i="4" s="1"/>
  <c r="DN53" i="4" s="1"/>
  <c r="CQ56" i="4"/>
  <c r="DO56" i="4" s="1"/>
  <c r="I57" i="4"/>
  <c r="BB123" i="4"/>
  <c r="BB79" i="4"/>
  <c r="BJ123" i="4"/>
  <c r="BJ79" i="4"/>
  <c r="BR123" i="4"/>
  <c r="BR79" i="4"/>
  <c r="CS58" i="4"/>
  <c r="DA123" i="4"/>
  <c r="DI123" i="4"/>
  <c r="DI79" i="4"/>
  <c r="DO59" i="4"/>
  <c r="BU64" i="4"/>
  <c r="BM72" i="4"/>
  <c r="BM123" i="4" s="1"/>
  <c r="BW79" i="4"/>
  <c r="BK126" i="4"/>
  <c r="AB81" i="4"/>
  <c r="AX81" i="4" s="1"/>
  <c r="CH126" i="4"/>
  <c r="CH94" i="4"/>
  <c r="DD87" i="4"/>
  <c r="BU91" i="4"/>
  <c r="CS91" i="4"/>
  <c r="CQ91" i="4" s="1"/>
  <c r="BT111" i="4"/>
  <c r="CP111" i="4" s="1"/>
  <c r="CF116" i="4"/>
  <c r="CN116" i="4"/>
  <c r="BG121" i="4"/>
  <c r="CX121" i="4"/>
  <c r="V121" i="4"/>
  <c r="BB40" i="4"/>
  <c r="BT51" i="4"/>
  <c r="CP51" i="4" s="1"/>
  <c r="AA57" i="4"/>
  <c r="AE123" i="4"/>
  <c r="AE79" i="4"/>
  <c r="BD123" i="4"/>
  <c r="BD79" i="4"/>
  <c r="BL123" i="4"/>
  <c r="BL79" i="4"/>
  <c r="CU123" i="4"/>
  <c r="CU79" i="4"/>
  <c r="DC79" i="4"/>
  <c r="DK60" i="4"/>
  <c r="CQ60" i="4" s="1"/>
  <c r="DO60" i="4" s="1"/>
  <c r="BS77" i="4"/>
  <c r="BU77" i="4"/>
  <c r="CW79" i="4"/>
  <c r="H126" i="4"/>
  <c r="H94" i="4"/>
  <c r="H116" i="4" s="1"/>
  <c r="CR80" i="4"/>
  <c r="G80" i="4"/>
  <c r="BT80" i="4" s="1"/>
  <c r="CP80" i="4" s="1"/>
  <c r="AZ80" i="4"/>
  <c r="BE126" i="4"/>
  <c r="BE94" i="4"/>
  <c r="BM126" i="4"/>
  <c r="BM94" i="4"/>
  <c r="BV126" i="4"/>
  <c r="BV94" i="4"/>
  <c r="BV116" i="4" s="1"/>
  <c r="BJ94" i="4"/>
  <c r="BR94" i="4"/>
  <c r="AB88" i="4"/>
  <c r="AX88" i="4" s="1"/>
  <c r="BT89" i="4"/>
  <c r="CP89" i="4" s="1"/>
  <c r="CQ93" i="4"/>
  <c r="AZ114" i="4"/>
  <c r="BH114" i="4"/>
  <c r="BP114" i="4"/>
  <c r="BZ119" i="4"/>
  <c r="BZ125" i="4" s="1"/>
  <c r="BZ127" i="4" s="1"/>
  <c r="BZ114" i="4"/>
  <c r="BZ116" i="4" s="1"/>
  <c r="CV100" i="4"/>
  <c r="CV119" i="4" s="1"/>
  <c r="CS108" i="4"/>
  <c r="CQ108" i="4" s="1"/>
  <c r="BU108" i="4"/>
  <c r="BT112" i="4"/>
  <c r="CP112" i="4" s="1"/>
  <c r="BY24" i="4"/>
  <c r="AZ121" i="4"/>
  <c r="BH121" i="4"/>
  <c r="CY57" i="4"/>
  <c r="CY121" i="4"/>
  <c r="DG121" i="4"/>
  <c r="DG57" i="4"/>
  <c r="AC45" i="4"/>
  <c r="DO51" i="4"/>
  <c r="BS56" i="4"/>
  <c r="AY56" i="4" s="1"/>
  <c r="DN56" i="4" s="1"/>
  <c r="AW123" i="4"/>
  <c r="BE123" i="4"/>
  <c r="BM79" i="4"/>
  <c r="CV123" i="4"/>
  <c r="CV79" i="4"/>
  <c r="DD123" i="4"/>
  <c r="DD79" i="4"/>
  <c r="BP79" i="4"/>
  <c r="AC67" i="4"/>
  <c r="DF67" i="4"/>
  <c r="CO67" i="4"/>
  <c r="CS68" i="4"/>
  <c r="CQ68" i="4" s="1"/>
  <c r="BU68" i="4"/>
  <c r="BT69" i="4"/>
  <c r="CP69" i="4" s="1"/>
  <c r="DO69" i="4"/>
  <c r="CQ75" i="4"/>
  <c r="DO75" i="4" s="1"/>
  <c r="CQ76" i="4"/>
  <c r="AC77" i="4"/>
  <c r="DK78" i="4"/>
  <c r="CQ78" i="4" s="1"/>
  <c r="DO78" i="4" s="1"/>
  <c r="CI79" i="4"/>
  <c r="BF126" i="4"/>
  <c r="BF94" i="4"/>
  <c r="DN92" i="4"/>
  <c r="AK118" i="4"/>
  <c r="AK125" i="4" s="1"/>
  <c r="AK114" i="4"/>
  <c r="AK116" i="4" s="1"/>
  <c r="BG99" i="4"/>
  <c r="BG114" i="4" s="1"/>
  <c r="BG116" i="4" s="1"/>
  <c r="AA119" i="4"/>
  <c r="AA125" i="4" s="1"/>
  <c r="AA127" i="4" s="1"/>
  <c r="DK100" i="4"/>
  <c r="BS100" i="4"/>
  <c r="G100" i="4"/>
  <c r="CG125" i="4"/>
  <c r="CG127" i="4" s="1"/>
  <c r="AE121" i="4"/>
  <c r="AE57" i="4"/>
  <c r="BA54" i="4"/>
  <c r="AY54" i="4" s="1"/>
  <c r="DN54" i="4" s="1"/>
  <c r="G54" i="4"/>
  <c r="DM54" i="4" s="1"/>
  <c r="BF123" i="4"/>
  <c r="BW123" i="4"/>
  <c r="DE123" i="4"/>
  <c r="DE79" i="4"/>
  <c r="DO74" i="4"/>
  <c r="AB78" i="4"/>
  <c r="AX78" i="4" s="1"/>
  <c r="AW79" i="4"/>
  <c r="AD126" i="4"/>
  <c r="AD94" i="4"/>
  <c r="AC80" i="4"/>
  <c r="BT81" i="4"/>
  <c r="CP81" i="4" s="1"/>
  <c r="DO81" i="4"/>
  <c r="BA94" i="4"/>
  <c r="BY126" i="4"/>
  <c r="CU90" i="4"/>
  <c r="CU126" i="4" s="1"/>
  <c r="BU90" i="4"/>
  <c r="BY94" i="4"/>
  <c r="BN119" i="4"/>
  <c r="CR119" i="4"/>
  <c r="CW114" i="4"/>
  <c r="AY111" i="4"/>
  <c r="DN111" i="4" s="1"/>
  <c r="CQ64" i="4"/>
  <c r="CI123" i="4"/>
  <c r="I123" i="4"/>
  <c r="CS75" i="4"/>
  <c r="BA75" i="4"/>
  <c r="I79" i="4"/>
  <c r="CG79" i="4"/>
  <c r="BD126" i="4"/>
  <c r="BL126" i="4"/>
  <c r="BL94" i="4"/>
  <c r="CX126" i="4"/>
  <c r="CX94" i="4"/>
  <c r="AY84" i="4"/>
  <c r="BT92" i="4"/>
  <c r="CP92" i="4" s="1"/>
  <c r="CR114" i="4"/>
  <c r="DH114" i="4"/>
  <c r="U114" i="4"/>
  <c r="U116" i="4" s="1"/>
  <c r="U128" i="4" s="1"/>
  <c r="U118" i="4"/>
  <c r="U125" i="4" s="1"/>
  <c r="U127" i="4" s="1"/>
  <c r="DE98" i="4"/>
  <c r="DE118" i="4" s="1"/>
  <c r="BM98" i="4"/>
  <c r="BM118" i="4" s="1"/>
  <c r="BT98" i="4"/>
  <c r="CP98" i="4" s="1"/>
  <c r="DF118" i="4"/>
  <c r="V114" i="4"/>
  <c r="V118" i="4"/>
  <c r="AP118" i="4"/>
  <c r="AP125" i="4" s="1"/>
  <c r="AP127" i="4" s="1"/>
  <c r="AP114" i="4"/>
  <c r="BL99" i="4"/>
  <c r="BL118" i="4" s="1"/>
  <c r="BY118" i="4"/>
  <c r="CU99" i="4"/>
  <c r="CU118" i="4" s="1"/>
  <c r="BB119" i="4"/>
  <c r="CF119" i="4"/>
  <c r="CF125" i="4" s="1"/>
  <c r="CF127" i="4" s="1"/>
  <c r="DB100" i="4"/>
  <c r="DB119" i="4" s="1"/>
  <c r="BW114" i="4"/>
  <c r="BW119" i="4"/>
  <c r="BU106" i="4"/>
  <c r="DM107" i="4"/>
  <c r="G124" i="4"/>
  <c r="DM124" i="4" s="1"/>
  <c r="BT107" i="4"/>
  <c r="CP107" i="4" s="1"/>
  <c r="Y114" i="4"/>
  <c r="Y116" i="4" s="1"/>
  <c r="Y128" i="4" s="1"/>
  <c r="AR123" i="4"/>
  <c r="BU63" i="4"/>
  <c r="BU65" i="4"/>
  <c r="BS78" i="4"/>
  <c r="AY78" i="4" s="1"/>
  <c r="DN78" i="4" s="1"/>
  <c r="BG126" i="4"/>
  <c r="BG94" i="4"/>
  <c r="DI126" i="4"/>
  <c r="BU87" i="4"/>
  <c r="AC89" i="4"/>
  <c r="G90" i="4"/>
  <c r="DM90" i="4" s="1"/>
  <c r="BI114" i="4"/>
  <c r="BQ114" i="4"/>
  <c r="CR118" i="4"/>
  <c r="AD125" i="4"/>
  <c r="AD127" i="4" s="1"/>
  <c r="CD118" i="4"/>
  <c r="CD125" i="4" s="1"/>
  <c r="CD127" i="4" s="1"/>
  <c r="CD114" i="4"/>
  <c r="CD116" i="4" s="1"/>
  <c r="BP119" i="4"/>
  <c r="AI114" i="4"/>
  <c r="AI116" i="4" s="1"/>
  <c r="AI119" i="4"/>
  <c r="AI125" i="4" s="1"/>
  <c r="AI127" i="4" s="1"/>
  <c r="AC102" i="4"/>
  <c r="BE102" i="4"/>
  <c r="BE114" i="4" s="1"/>
  <c r="CQ105" i="4"/>
  <c r="CQ111" i="4"/>
  <c r="DO111" i="4" s="1"/>
  <c r="AN125" i="4"/>
  <c r="AN127" i="4" s="1"/>
  <c r="BO118" i="4"/>
  <c r="BA69" i="4"/>
  <c r="AY69" i="4" s="1"/>
  <c r="DN69" i="4" s="1"/>
  <c r="BT71" i="4"/>
  <c r="CP71" i="4" s="1"/>
  <c r="BH126" i="4"/>
  <c r="BH94" i="4"/>
  <c r="BP94" i="4"/>
  <c r="BU82" i="4"/>
  <c r="AY89" i="4"/>
  <c r="DJ118" i="4"/>
  <c r="AG118" i="4"/>
  <c r="AG125" i="4" s="1"/>
  <c r="AF99" i="4"/>
  <c r="AC99" i="4" s="1"/>
  <c r="AG114" i="4"/>
  <c r="BC99" i="4"/>
  <c r="BG119" i="4"/>
  <c r="CS106" i="4"/>
  <c r="CS119" i="4" s="1"/>
  <c r="BS113" i="4"/>
  <c r="BS120" i="4" s="1"/>
  <c r="DK113" i="4"/>
  <c r="Y124" i="4"/>
  <c r="CK126" i="4"/>
  <c r="CK127" i="4" s="1"/>
  <c r="CK94" i="4"/>
  <c r="CK116" i="4" s="1"/>
  <c r="DG82" i="4"/>
  <c r="AA126" i="4"/>
  <c r="DK83" i="4"/>
  <c r="CQ83" i="4" s="1"/>
  <c r="BS83" i="4"/>
  <c r="G83" i="4"/>
  <c r="DM83" i="4" s="1"/>
  <c r="BU83" i="4"/>
  <c r="DO84" i="4"/>
  <c r="BU85" i="4"/>
  <c r="BN87" i="4"/>
  <c r="BN126" i="4" s="1"/>
  <c r="AB90" i="4"/>
  <c r="AX90" i="4" s="1"/>
  <c r="BK114" i="4"/>
  <c r="AZ118" i="4"/>
  <c r="DB118" i="4"/>
  <c r="DK118" i="4"/>
  <c r="AJ118" i="4"/>
  <c r="AJ125" i="4" s="1"/>
  <c r="AJ127" i="4" s="1"/>
  <c r="AJ114" i="4"/>
  <c r="AJ116" i="4" s="1"/>
  <c r="AJ128" i="4" s="1"/>
  <c r="CQ109" i="4"/>
  <c r="DO109" i="4" s="1"/>
  <c r="AR120" i="4"/>
  <c r="AC113" i="4"/>
  <c r="BN113" i="4"/>
  <c r="N125" i="4"/>
  <c r="N127" i="4" s="1"/>
  <c r="CY126" i="4"/>
  <c r="AF126" i="4"/>
  <c r="BB93" i="4"/>
  <c r="BB94" i="4" s="1"/>
  <c r="AW119" i="4"/>
  <c r="BF119" i="4"/>
  <c r="BO119" i="4"/>
  <c r="DA119" i="4"/>
  <c r="DA125" i="4" s="1"/>
  <c r="DA127" i="4" s="1"/>
  <c r="AR119" i="4"/>
  <c r="CJ119" i="4"/>
  <c r="G104" i="4"/>
  <c r="DM104" i="4" s="1"/>
  <c r="DK104" i="4"/>
  <c r="CQ104" i="4" s="1"/>
  <c r="DO104" i="4" s="1"/>
  <c r="BS104" i="4"/>
  <c r="AY104" i="4" s="1"/>
  <c r="DN104" i="4" s="1"/>
  <c r="CJ122" i="4"/>
  <c r="DF112" i="4"/>
  <c r="CQ112" i="4" s="1"/>
  <c r="DO112" i="4" s="1"/>
  <c r="AD114" i="4"/>
  <c r="AR114" i="4"/>
  <c r="AZ123" i="4"/>
  <c r="BP123" i="4"/>
  <c r="CX123" i="4"/>
  <c r="BA126" i="4"/>
  <c r="BI126" i="4"/>
  <c r="BQ126" i="4"/>
  <c r="DA126" i="4"/>
  <c r="DA94" i="4"/>
  <c r="DI94" i="4"/>
  <c r="DK89" i="4"/>
  <c r="CQ89" i="4" s="1"/>
  <c r="DO89" i="4" s="1"/>
  <c r="AG126" i="4"/>
  <c r="AG94" i="4"/>
  <c r="BC90" i="4"/>
  <c r="AY90" i="4" s="1"/>
  <c r="AE94" i="4"/>
  <c r="BX94" i="4"/>
  <c r="BD114" i="4"/>
  <c r="CV114" i="4"/>
  <c r="DD114" i="4"/>
  <c r="BT96" i="4"/>
  <c r="CP96" i="4" s="1"/>
  <c r="BD118" i="4"/>
  <c r="CH118" i="4"/>
  <c r="CH125" i="4" s="1"/>
  <c r="CH114" i="4"/>
  <c r="BH119" i="4"/>
  <c r="BH125" i="4" s="1"/>
  <c r="BH127" i="4" s="1"/>
  <c r="DD119" i="4"/>
  <c r="BU105" i="4"/>
  <c r="O125" i="4"/>
  <c r="O127" i="4" s="1"/>
  <c r="O128" i="4" s="1"/>
  <c r="AO125" i="4"/>
  <c r="AO127" i="4" s="1"/>
  <c r="AO128" i="4" s="1"/>
  <c r="BJ126" i="4"/>
  <c r="DB126" i="4"/>
  <c r="DJ126" i="4"/>
  <c r="BW126" i="4"/>
  <c r="AF94" i="4"/>
  <c r="CY94" i="4"/>
  <c r="DE114" i="4"/>
  <c r="AQ114" i="4"/>
  <c r="AQ118" i="4"/>
  <c r="BE118" i="4"/>
  <c r="AC100" i="4"/>
  <c r="BR119" i="4"/>
  <c r="DE119" i="4"/>
  <c r="BS101" i="4"/>
  <c r="AY101" i="4" s="1"/>
  <c r="AC103" i="4"/>
  <c r="DK105" i="4"/>
  <c r="BS105" i="4"/>
  <c r="AY105" i="4" s="1"/>
  <c r="DN105" i="4" s="1"/>
  <c r="BT109" i="4"/>
  <c r="CP109" i="4" s="1"/>
  <c r="DC126" i="4"/>
  <c r="AW126" i="4"/>
  <c r="AW94" i="4"/>
  <c r="CI126" i="4"/>
  <c r="AP94" i="4"/>
  <c r="AP116" i="4" s="1"/>
  <c r="DJ94" i="4"/>
  <c r="BF114" i="4"/>
  <c r="BF118" i="4"/>
  <c r="BN118" i="4"/>
  <c r="CI114" i="4"/>
  <c r="CI118" i="4"/>
  <c r="AW118" i="4"/>
  <c r="AW114" i="4"/>
  <c r="CO118" i="4"/>
  <c r="CW119" i="4"/>
  <c r="DG119" i="4"/>
  <c r="BS102" i="4"/>
  <c r="BL103" i="4"/>
  <c r="AB105" i="4"/>
  <c r="AX105" i="4" s="1"/>
  <c r="I125" i="4"/>
  <c r="I127" i="4" s="1"/>
  <c r="AB111" i="4"/>
  <c r="AX111" i="4" s="1"/>
  <c r="H125" i="4"/>
  <c r="P125" i="4"/>
  <c r="P127" i="4" s="1"/>
  <c r="P128" i="4" s="1"/>
  <c r="Y125" i="4"/>
  <c r="Y127" i="4" s="1"/>
  <c r="AL118" i="4"/>
  <c r="AL125" i="4" s="1"/>
  <c r="AL127" i="4" s="1"/>
  <c r="AL128" i="4" s="1"/>
  <c r="AV125" i="4"/>
  <c r="AV127" i="4" s="1"/>
  <c r="AK127" i="4"/>
  <c r="CT100" i="4"/>
  <c r="CT119" i="4" s="1"/>
  <c r="CQ103" i="4"/>
  <c r="AU124" i="4"/>
  <c r="AU125" i="4" s="1"/>
  <c r="AU127" i="4" s="1"/>
  <c r="AU114" i="4"/>
  <c r="AU116" i="4" s="1"/>
  <c r="J114" i="4"/>
  <c r="AA114" i="4"/>
  <c r="AV114" i="4"/>
  <c r="AV116" i="4" s="1"/>
  <c r="CM125" i="4"/>
  <c r="CM127" i="4" s="1"/>
  <c r="DN95" i="4"/>
  <c r="V119" i="4"/>
  <c r="DF100" i="4"/>
  <c r="BM100" i="4"/>
  <c r="BM119" i="4" s="1"/>
  <c r="AE119" i="4"/>
  <c r="BA106" i="4"/>
  <c r="AY106" i="4" s="1"/>
  <c r="AY108" i="4"/>
  <c r="DN108" i="4" s="1"/>
  <c r="CE125" i="4"/>
  <c r="CE127" i="4" s="1"/>
  <c r="BU124" i="4"/>
  <c r="BQ119" i="4"/>
  <c r="CX119" i="4"/>
  <c r="J125" i="4"/>
  <c r="J127" i="4" s="1"/>
  <c r="R125" i="4"/>
  <c r="R127" i="4" s="1"/>
  <c r="AM125" i="4"/>
  <c r="AM127" i="4" s="1"/>
  <c r="AM128" i="4" s="1"/>
  <c r="AC123" i="4"/>
  <c r="BV125" i="4"/>
  <c r="CL125" i="4"/>
  <c r="CL127" i="4" s="1"/>
  <c r="K125" i="4"/>
  <c r="K127" i="4" s="1"/>
  <c r="CN125" i="4"/>
  <c r="CN127" i="4" s="1"/>
  <c r="CM128" i="4" l="1"/>
  <c r="CJ57" i="4"/>
  <c r="DG126" i="4"/>
  <c r="AR116" i="4"/>
  <c r="BT35" i="4"/>
  <c r="CP35" i="4" s="1"/>
  <c r="AS128" i="4"/>
  <c r="CQ87" i="4"/>
  <c r="DO87" i="4" s="1"/>
  <c r="DH57" i="4"/>
  <c r="DO12" i="4"/>
  <c r="BA119" i="4"/>
  <c r="CO121" i="4"/>
  <c r="DN52" i="4"/>
  <c r="CG116" i="4"/>
  <c r="DN63" i="4"/>
  <c r="DH121" i="4"/>
  <c r="DH125" i="4" s="1"/>
  <c r="DH127" i="4" s="1"/>
  <c r="DN90" i="4"/>
  <c r="BS126" i="4"/>
  <c r="BG118" i="4"/>
  <c r="BG125" i="4" s="1"/>
  <c r="BG127" i="4" s="1"/>
  <c r="BG128" i="4" s="1"/>
  <c r="DF94" i="4"/>
  <c r="DN84" i="4"/>
  <c r="CJ79" i="4"/>
  <c r="CJ116" i="4" s="1"/>
  <c r="AK128" i="4"/>
  <c r="BU102" i="4"/>
  <c r="BU114" i="4" s="1"/>
  <c r="BT114" i="4" s="1"/>
  <c r="CP114" i="4" s="1"/>
  <c r="BK57" i="4"/>
  <c r="AY6" i="4"/>
  <c r="DN6" i="4" s="1"/>
  <c r="CQ7" i="4"/>
  <c r="DO7" i="4" s="1"/>
  <c r="DO70" i="4"/>
  <c r="DO27" i="4"/>
  <c r="AP128" i="4"/>
  <c r="AR125" i="4"/>
  <c r="AR127" i="4" s="1"/>
  <c r="AR128" i="4" s="1"/>
  <c r="CJ123" i="4"/>
  <c r="CJ125" i="4" s="1"/>
  <c r="CJ127" i="4" s="1"/>
  <c r="BC122" i="4"/>
  <c r="BU55" i="4"/>
  <c r="BT55" i="4" s="1"/>
  <c r="CP55" i="4" s="1"/>
  <c r="BN114" i="4"/>
  <c r="CO114" i="4"/>
  <c r="BB24" i="4"/>
  <c r="BK121" i="4"/>
  <c r="BK125" i="4" s="1"/>
  <c r="BK127" i="4" s="1"/>
  <c r="BR125" i="4"/>
  <c r="BR127" i="4" s="1"/>
  <c r="BR114" i="4"/>
  <c r="BS121" i="4"/>
  <c r="CZ125" i="4"/>
  <c r="CZ127" i="4" s="1"/>
  <c r="BB126" i="4"/>
  <c r="AY46" i="4"/>
  <c r="DN82" i="4"/>
  <c r="AY107" i="4"/>
  <c r="CQ102" i="4"/>
  <c r="BM122" i="4"/>
  <c r="BM125" i="4" s="1"/>
  <c r="BM127" i="4" s="1"/>
  <c r="DN106" i="4"/>
  <c r="BL114" i="4"/>
  <c r="BU103" i="4"/>
  <c r="BT103" i="4" s="1"/>
  <c r="CP103" i="4" s="1"/>
  <c r="DO18" i="4"/>
  <c r="AY12" i="4"/>
  <c r="DN12" i="4" s="1"/>
  <c r="BB57" i="4"/>
  <c r="BA121" i="4"/>
  <c r="BC120" i="4"/>
  <c r="DN14" i="4"/>
  <c r="AC126" i="4"/>
  <c r="DJ114" i="4"/>
  <c r="CQ5" i="4"/>
  <c r="DO5" i="4" s="1"/>
  <c r="CT57" i="4"/>
  <c r="CT116" i="4" s="1"/>
  <c r="AW125" i="4"/>
  <c r="AW127" i="4" s="1"/>
  <c r="CK128" i="4"/>
  <c r="BA114" i="4"/>
  <c r="CV125" i="4"/>
  <c r="CV127" i="4" s="1"/>
  <c r="CH116" i="4"/>
  <c r="DN91" i="4"/>
  <c r="AB91" i="4"/>
  <c r="AX91" i="4" s="1"/>
  <c r="CU125" i="4"/>
  <c r="CU127" i="4" s="1"/>
  <c r="AC79" i="4"/>
  <c r="CQ4" i="4"/>
  <c r="AQ116" i="4"/>
  <c r="BU121" i="4"/>
  <c r="BT121" i="4" s="1"/>
  <c r="CP121" i="4" s="1"/>
  <c r="DN4" i="4"/>
  <c r="AC121" i="4"/>
  <c r="AB121" i="4" s="1"/>
  <c r="AX121" i="4" s="1"/>
  <c r="CT121" i="4"/>
  <c r="BN94" i="4"/>
  <c r="AC24" i="4"/>
  <c r="AB24" i="4" s="1"/>
  <c r="AX24" i="4" s="1"/>
  <c r="AN128" i="4"/>
  <c r="BN79" i="4"/>
  <c r="BQ125" i="4"/>
  <c r="BQ127" i="4" s="1"/>
  <c r="DG94" i="4"/>
  <c r="DG116" i="4" s="1"/>
  <c r="DC123" i="4"/>
  <c r="DF119" i="4"/>
  <c r="DG125" i="4"/>
  <c r="DG127" i="4" s="1"/>
  <c r="AC114" i="4"/>
  <c r="AB114" i="4" s="1"/>
  <c r="AX114" i="4" s="1"/>
  <c r="AY113" i="4"/>
  <c r="DN113" i="4" s="1"/>
  <c r="CD128" i="4"/>
  <c r="BY125" i="4"/>
  <c r="BN123" i="4"/>
  <c r="BS119" i="4"/>
  <c r="DO55" i="4"/>
  <c r="AC120" i="4"/>
  <c r="AC122" i="4"/>
  <c r="AB122" i="4" s="1"/>
  <c r="AX122" i="4" s="1"/>
  <c r="CQ82" i="4"/>
  <c r="DO82" i="4" s="1"/>
  <c r="DC121" i="4"/>
  <c r="BC24" i="4"/>
  <c r="CQ22" i="4"/>
  <c r="CQ24" i="4" s="1"/>
  <c r="BT27" i="4"/>
  <c r="CP27" i="4" s="1"/>
  <c r="DD94" i="4"/>
  <c r="AB14" i="4"/>
  <c r="AX14" i="4" s="1"/>
  <c r="DD125" i="4"/>
  <c r="BO126" i="4"/>
  <c r="AC119" i="4"/>
  <c r="DI116" i="4"/>
  <c r="CY125" i="4"/>
  <c r="CY127" i="4" s="1"/>
  <c r="CX125" i="4"/>
  <c r="CX127" i="4" s="1"/>
  <c r="AY31" i="4"/>
  <c r="DN31" i="4" s="1"/>
  <c r="CG128" i="4"/>
  <c r="CI125" i="4"/>
  <c r="CI127" i="4" s="1"/>
  <c r="CQ113" i="4"/>
  <c r="DO113" i="4" s="1"/>
  <c r="DN101" i="4"/>
  <c r="BO94" i="4"/>
  <c r="BO116" i="4" s="1"/>
  <c r="DK120" i="4"/>
  <c r="AG127" i="4"/>
  <c r="CY116" i="4"/>
  <c r="CY128" i="4" s="1"/>
  <c r="DO93" i="4"/>
  <c r="CW125" i="4"/>
  <c r="CW127" i="4" s="1"/>
  <c r="BS122" i="4"/>
  <c r="CA128" i="4"/>
  <c r="AY72" i="4"/>
  <c r="DN72" i="4" s="1"/>
  <c r="AY40" i="4"/>
  <c r="DN40" i="4" s="1"/>
  <c r="DD126" i="4"/>
  <c r="DF49" i="4"/>
  <c r="DF57" i="4" s="1"/>
  <c r="BU49" i="4"/>
  <c r="BU57" i="4" s="1"/>
  <c r="AD116" i="4"/>
  <c r="AD128" i="4" s="1"/>
  <c r="AH128" i="4"/>
  <c r="BS24" i="4"/>
  <c r="DI125" i="4"/>
  <c r="DI127" i="4" s="1"/>
  <c r="DN21" i="4"/>
  <c r="CQ107" i="4"/>
  <c r="DO107" i="4" s="1"/>
  <c r="AY112" i="4"/>
  <c r="DN112" i="4" s="1"/>
  <c r="BM114" i="4"/>
  <c r="BM116" i="4" s="1"/>
  <c r="BZ128" i="4"/>
  <c r="BS57" i="4"/>
  <c r="BE116" i="4"/>
  <c r="CT122" i="4"/>
  <c r="CQ90" i="4"/>
  <c r="DO90" i="4" s="1"/>
  <c r="CQ36" i="4"/>
  <c r="DO36" i="4" s="1"/>
  <c r="AY87" i="4"/>
  <c r="DF122" i="4"/>
  <c r="BP125" i="4"/>
  <c r="BP127" i="4" s="1"/>
  <c r="DO4" i="4"/>
  <c r="AU128" i="4"/>
  <c r="DM24" i="4"/>
  <c r="AB85" i="4"/>
  <c r="AX85" i="4" s="1"/>
  <c r="DN85" i="4"/>
  <c r="S128" i="4"/>
  <c r="BA123" i="4"/>
  <c r="AB38" i="4"/>
  <c r="AX38" i="4" s="1"/>
  <c r="V125" i="4"/>
  <c r="V127" i="4" s="1"/>
  <c r="V128" i="4" s="1"/>
  <c r="AC94" i="4"/>
  <c r="AB80" i="4"/>
  <c r="AX80" i="4" s="1"/>
  <c r="BU67" i="4"/>
  <c r="DK67" i="4"/>
  <c r="DK123" i="4" s="1"/>
  <c r="CO79" i="4"/>
  <c r="AB45" i="4"/>
  <c r="AX45" i="4" s="1"/>
  <c r="DN45" i="4"/>
  <c r="DO91" i="4"/>
  <c r="BT91" i="4"/>
  <c r="CP91" i="4" s="1"/>
  <c r="CL128" i="4"/>
  <c r="DF79" i="4"/>
  <c r="CQ61" i="4"/>
  <c r="DO61" i="4" s="1"/>
  <c r="BT101" i="4"/>
  <c r="CP101" i="4" s="1"/>
  <c r="K128" i="4"/>
  <c r="G123" i="4"/>
  <c r="DM123" i="4" s="1"/>
  <c r="DM58" i="4"/>
  <c r="G79" i="4"/>
  <c r="DM79" i="4" s="1"/>
  <c r="AC57" i="4"/>
  <c r="G57" i="4"/>
  <c r="DM57" i="4" s="1"/>
  <c r="DM118" i="4"/>
  <c r="DO72" i="4"/>
  <c r="BT72" i="4"/>
  <c r="CP72" i="4" s="1"/>
  <c r="BP57" i="4"/>
  <c r="BP116" i="4" s="1"/>
  <c r="BT22" i="4"/>
  <c r="CP22" i="4" s="1"/>
  <c r="AV128" i="4"/>
  <c r="BI116" i="4"/>
  <c r="BI128" i="4" s="1"/>
  <c r="BT45" i="4"/>
  <c r="CP45" i="4" s="1"/>
  <c r="DO45" i="4"/>
  <c r="AB9" i="4"/>
  <c r="AX9" i="4" s="1"/>
  <c r="DN9" i="4"/>
  <c r="BT31" i="4"/>
  <c r="CP31" i="4" s="1"/>
  <c r="DO31" i="4"/>
  <c r="BT6" i="4"/>
  <c r="CP6" i="4" s="1"/>
  <c r="DO6" i="4"/>
  <c r="BV127" i="4"/>
  <c r="AB100" i="4"/>
  <c r="AX100" i="4" s="1"/>
  <c r="CH127" i="4"/>
  <c r="DF123" i="4"/>
  <c r="AB113" i="4"/>
  <c r="AX113" i="4" s="1"/>
  <c r="BL119" i="4"/>
  <c r="BL125" i="4" s="1"/>
  <c r="BL127" i="4" s="1"/>
  <c r="BY116" i="4"/>
  <c r="AY98" i="4"/>
  <c r="BT77" i="4"/>
  <c r="CP77" i="4" s="1"/>
  <c r="DO77" i="4"/>
  <c r="G114" i="4"/>
  <c r="DM114" i="4" s="1"/>
  <c r="CO119" i="4"/>
  <c r="BU119" i="4" s="1"/>
  <c r="DK101" i="4"/>
  <c r="DK119" i="4" s="1"/>
  <c r="AB58" i="4"/>
  <c r="AX58" i="4" s="1"/>
  <c r="AY27" i="4"/>
  <c r="BN121" i="4"/>
  <c r="DN22" i="4"/>
  <c r="AB22" i="4"/>
  <c r="AX22" i="4" s="1"/>
  <c r="BS123" i="4"/>
  <c r="BS79" i="4"/>
  <c r="AY58" i="4"/>
  <c r="BU122" i="4"/>
  <c r="BB121" i="4"/>
  <c r="DN87" i="4"/>
  <c r="AB87" i="4"/>
  <c r="AX87" i="4" s="1"/>
  <c r="AB50" i="4"/>
  <c r="AX50" i="4" s="1"/>
  <c r="DN50" i="4"/>
  <c r="AB37" i="4"/>
  <c r="AX37" i="4" s="1"/>
  <c r="DN37" i="4"/>
  <c r="BT99" i="4"/>
  <c r="CP99" i="4" s="1"/>
  <c r="AB28" i="4"/>
  <c r="AX28" i="4" s="1"/>
  <c r="DN28" i="4"/>
  <c r="BB122" i="4"/>
  <c r="CI116" i="4"/>
  <c r="BK116" i="4"/>
  <c r="DJ125" i="4"/>
  <c r="DJ127" i="4" s="1"/>
  <c r="AB99" i="4"/>
  <c r="AX99" i="4" s="1"/>
  <c r="DB125" i="4"/>
  <c r="DB127" i="4" s="1"/>
  <c r="BT85" i="4"/>
  <c r="CP85" i="4" s="1"/>
  <c r="DO85" i="4"/>
  <c r="AY93" i="4"/>
  <c r="DN93" i="4" s="1"/>
  <c r="AB109" i="4"/>
  <c r="AX109" i="4" s="1"/>
  <c r="DN109" i="4"/>
  <c r="CS57" i="4"/>
  <c r="DD116" i="4"/>
  <c r="DA116" i="4"/>
  <c r="DA128" i="4" s="1"/>
  <c r="BX125" i="4"/>
  <c r="BX127" i="4" s="1"/>
  <c r="BU118" i="4"/>
  <c r="DN16" i="4"/>
  <c r="AB16" i="4"/>
  <c r="AX16" i="4" s="1"/>
  <c r="CQ53" i="4"/>
  <c r="DO53" i="4" s="1"/>
  <c r="I116" i="4"/>
  <c r="I128" i="4" s="1"/>
  <c r="AY103" i="4"/>
  <c r="DN103" i="4" s="1"/>
  <c r="AC124" i="4"/>
  <c r="H127" i="4"/>
  <c r="H128" i="4" s="1"/>
  <c r="BN122" i="4"/>
  <c r="BU94" i="4"/>
  <c r="AI128" i="4"/>
  <c r="CS126" i="4"/>
  <c r="CU94" i="4"/>
  <c r="BT46" i="4"/>
  <c r="CP46" i="4" s="1"/>
  <c r="DO46" i="4"/>
  <c r="BJ114" i="4"/>
  <c r="BJ116" i="4" s="1"/>
  <c r="BT88" i="4"/>
  <c r="CP88" i="4" s="1"/>
  <c r="DO34" i="4"/>
  <c r="BT34" i="4"/>
  <c r="CP34" i="4" s="1"/>
  <c r="AG116" i="4"/>
  <c r="BA24" i="4"/>
  <c r="DM33" i="4"/>
  <c r="AB33" i="4"/>
  <c r="AX33" i="4" s="1"/>
  <c r="BT33" i="4"/>
  <c r="CP33" i="4" s="1"/>
  <c r="BA120" i="4"/>
  <c r="AY8" i="4"/>
  <c r="DN8" i="4" s="1"/>
  <c r="BT28" i="4"/>
  <c r="CP28" i="4" s="1"/>
  <c r="BF125" i="4"/>
  <c r="BF127" i="4" s="1"/>
  <c r="CQ106" i="4"/>
  <c r="DO106" i="4" s="1"/>
  <c r="CO94" i="4"/>
  <c r="BC118" i="4"/>
  <c r="BC125" i="4" s="1"/>
  <c r="BC114" i="4"/>
  <c r="BT82" i="4"/>
  <c r="CP82" i="4" s="1"/>
  <c r="AB102" i="4"/>
  <c r="AX102" i="4" s="1"/>
  <c r="CR125" i="4"/>
  <c r="DN89" i="4"/>
  <c r="AB89" i="4"/>
  <c r="AX89" i="4" s="1"/>
  <c r="DO65" i="4"/>
  <c r="BT65" i="4"/>
  <c r="CP65" i="4" s="1"/>
  <c r="BT106" i="4"/>
  <c r="CP106" i="4" s="1"/>
  <c r="BY127" i="4"/>
  <c r="AB83" i="4"/>
  <c r="AX83" i="4" s="1"/>
  <c r="BT61" i="4"/>
  <c r="CP61" i="4" s="1"/>
  <c r="BT104" i="4"/>
  <c r="CP104" i="4" s="1"/>
  <c r="G126" i="4"/>
  <c r="DM126" i="4" s="1"/>
  <c r="G94" i="4"/>
  <c r="DM94" i="4" s="1"/>
  <c r="DM80" i="4"/>
  <c r="BH116" i="4"/>
  <c r="BH128" i="4" s="1"/>
  <c r="CV116" i="4"/>
  <c r="AT128" i="4"/>
  <c r="DJ116" i="4"/>
  <c r="AB35" i="4"/>
  <c r="AX35" i="4" s="1"/>
  <c r="DN35" i="4"/>
  <c r="AY77" i="4"/>
  <c r="DN77" i="4" s="1"/>
  <c r="DO14" i="4"/>
  <c r="BT14" i="4"/>
  <c r="CP14" i="4" s="1"/>
  <c r="BF116" i="4"/>
  <c r="AB39" i="4"/>
  <c r="AX39" i="4" s="1"/>
  <c r="DN39" i="4"/>
  <c r="AB46" i="4"/>
  <c r="AX46" i="4" s="1"/>
  <c r="DN46" i="4"/>
  <c r="BJ125" i="4"/>
  <c r="BJ127" i="4" s="1"/>
  <c r="BS114" i="4"/>
  <c r="DC57" i="4"/>
  <c r="DC116" i="4" s="1"/>
  <c r="BT12" i="4"/>
  <c r="CP12" i="4" s="1"/>
  <c r="DM12" i="4"/>
  <c r="DN25" i="4"/>
  <c r="AY38" i="4"/>
  <c r="DN38" i="4" s="1"/>
  <c r="BW116" i="4"/>
  <c r="AW116" i="4"/>
  <c r="AW128" i="4" s="1"/>
  <c r="BA122" i="4"/>
  <c r="AY55" i="4"/>
  <c r="DN55" i="4" s="1"/>
  <c r="CQ28" i="4"/>
  <c r="DO28" i="4" s="1"/>
  <c r="G120" i="4"/>
  <c r="DM120" i="4" s="1"/>
  <c r="DM8" i="4"/>
  <c r="AB8" i="4"/>
  <c r="AX8" i="4" s="1"/>
  <c r="BT8" i="4"/>
  <c r="CP8" i="4" s="1"/>
  <c r="BT9" i="4"/>
  <c r="CP9" i="4" s="1"/>
  <c r="DO9" i="4"/>
  <c r="BC126" i="4"/>
  <c r="CS123" i="4"/>
  <c r="CS79" i="4"/>
  <c r="CQ58" i="4"/>
  <c r="BT100" i="4"/>
  <c r="CP100" i="4" s="1"/>
  <c r="DN15" i="4"/>
  <c r="AB15" i="4"/>
  <c r="AX15" i="4" s="1"/>
  <c r="AZ126" i="4"/>
  <c r="AZ94" i="4"/>
  <c r="AZ116" i="4" s="1"/>
  <c r="AY80" i="4"/>
  <c r="DN80" i="4" s="1"/>
  <c r="AE125" i="4"/>
  <c r="AE127" i="4" s="1"/>
  <c r="CS114" i="4"/>
  <c r="CS24" i="4"/>
  <c r="BL116" i="4"/>
  <c r="CX114" i="4"/>
  <c r="CX116" i="4" s="1"/>
  <c r="CX128" i="4" s="1"/>
  <c r="AB103" i="4"/>
  <c r="AX103" i="4" s="1"/>
  <c r="CS94" i="4"/>
  <c r="CR126" i="4"/>
  <c r="CR94" i="4"/>
  <c r="CR116" i="4" s="1"/>
  <c r="CQ80" i="4"/>
  <c r="CN128" i="4"/>
  <c r="CQ99" i="4"/>
  <c r="DO99" i="4" s="1"/>
  <c r="BN120" i="4"/>
  <c r="AY102" i="4"/>
  <c r="DN102" i="4" s="1"/>
  <c r="CO123" i="4"/>
  <c r="DH116" i="4"/>
  <c r="DE122" i="4"/>
  <c r="DE125" i="4" s="1"/>
  <c r="DE127" i="4" s="1"/>
  <c r="DE24" i="4"/>
  <c r="DE116" i="4" s="1"/>
  <c r="DN107" i="4"/>
  <c r="AB107" i="4"/>
  <c r="AX107" i="4" s="1"/>
  <c r="DN70" i="4"/>
  <c r="AB70" i="4"/>
  <c r="AX70" i="4" s="1"/>
  <c r="AB44" i="4"/>
  <c r="AX44" i="4" s="1"/>
  <c r="DN44" i="4"/>
  <c r="DN26" i="4"/>
  <c r="AB26" i="4"/>
  <c r="AX26" i="4" s="1"/>
  <c r="BT113" i="4"/>
  <c r="CP113" i="4" s="1"/>
  <c r="CQ98" i="4"/>
  <c r="BC57" i="4"/>
  <c r="DK88" i="4"/>
  <c r="DK94" i="4" s="1"/>
  <c r="BA57" i="4"/>
  <c r="BT54" i="4"/>
  <c r="CP54" i="4" s="1"/>
  <c r="AE116" i="4"/>
  <c r="AE128" i="4" s="1"/>
  <c r="CS120" i="4"/>
  <c r="BT90" i="4"/>
  <c r="CP90" i="4" s="1"/>
  <c r="DK122" i="4"/>
  <c r="DK24" i="4"/>
  <c r="DN18" i="4"/>
  <c r="AB18" i="4"/>
  <c r="AX18" i="4" s="1"/>
  <c r="BS94" i="4"/>
  <c r="AY83" i="4"/>
  <c r="DN83" i="4" s="1"/>
  <c r="AB77" i="4"/>
  <c r="AX77" i="4" s="1"/>
  <c r="DO108" i="4"/>
  <c r="BT108" i="4"/>
  <c r="CP108" i="4" s="1"/>
  <c r="AB123" i="4"/>
  <c r="AX123" i="4" s="1"/>
  <c r="AB119" i="4"/>
  <c r="AX119" i="4" s="1"/>
  <c r="CQ100" i="4"/>
  <c r="DO100" i="4" s="1"/>
  <c r="AB67" i="4"/>
  <c r="AX67" i="4" s="1"/>
  <c r="DN67" i="4"/>
  <c r="BT64" i="4"/>
  <c r="CP64" i="4" s="1"/>
  <c r="DO64" i="4"/>
  <c r="BV128" i="4"/>
  <c r="AB27" i="4"/>
  <c r="AX27" i="4" s="1"/>
  <c r="DN27" i="4"/>
  <c r="AY100" i="4"/>
  <c r="DN100" i="4" s="1"/>
  <c r="AB59" i="4"/>
  <c r="AX59" i="4" s="1"/>
  <c r="BT59" i="4"/>
  <c r="CP59" i="4" s="1"/>
  <c r="DM59" i="4"/>
  <c r="CZ116" i="4"/>
  <c r="CZ128" i="4" s="1"/>
  <c r="AB13" i="4"/>
  <c r="AX13" i="4" s="1"/>
  <c r="DN13" i="4"/>
  <c r="AA128" i="4"/>
  <c r="DN17" i="4"/>
  <c r="AB17" i="4"/>
  <c r="AX17" i="4" s="1"/>
  <c r="BT17" i="4"/>
  <c r="CP17" i="4" s="1"/>
  <c r="DO17" i="4"/>
  <c r="CT118" i="4"/>
  <c r="BO125" i="4"/>
  <c r="CU114" i="4"/>
  <c r="CS121" i="4"/>
  <c r="DO124" i="4"/>
  <c r="BT124" i="4"/>
  <c r="CP124" i="4" s="1"/>
  <c r="BT105" i="4"/>
  <c r="CP105" i="4" s="1"/>
  <c r="DO105" i="4"/>
  <c r="BT83" i="4"/>
  <c r="CP83" i="4" s="1"/>
  <c r="DO83" i="4"/>
  <c r="BT87" i="4"/>
  <c r="CP87" i="4" s="1"/>
  <c r="DO63" i="4"/>
  <c r="BT63" i="4"/>
  <c r="CP63" i="4" s="1"/>
  <c r="BW125" i="4"/>
  <c r="BW127" i="4" s="1"/>
  <c r="AQ125" i="4"/>
  <c r="AQ127" i="4" s="1"/>
  <c r="AQ128" i="4" s="1"/>
  <c r="BD125" i="4"/>
  <c r="BD127" i="4" s="1"/>
  <c r="AB104" i="4"/>
  <c r="AX104" i="4" s="1"/>
  <c r="AZ125" i="4"/>
  <c r="CO126" i="4"/>
  <c r="BU126" i="4" s="1"/>
  <c r="AF118" i="4"/>
  <c r="AF114" i="4"/>
  <c r="AF116" i="4" s="1"/>
  <c r="BB99" i="4"/>
  <c r="DM100" i="4"/>
  <c r="G119" i="4"/>
  <c r="DM119" i="4" s="1"/>
  <c r="BT68" i="4"/>
  <c r="CP68" i="4" s="1"/>
  <c r="DO68" i="4"/>
  <c r="CF128" i="4"/>
  <c r="BC94" i="4"/>
  <c r="R128" i="4"/>
  <c r="BE119" i="4"/>
  <c r="BE125" i="4" s="1"/>
  <c r="BE127" i="4" s="1"/>
  <c r="CW116" i="4"/>
  <c r="BX116" i="4"/>
  <c r="BX128" i="4" s="1"/>
  <c r="DB116" i="4"/>
  <c r="DB128" i="4" s="1"/>
  <c r="BT58" i="4"/>
  <c r="CP58" i="4" s="1"/>
  <c r="BD116" i="4"/>
  <c r="AB72" i="4"/>
  <c r="AX72" i="4" s="1"/>
  <c r="DO25" i="4"/>
  <c r="BT25" i="4"/>
  <c r="CP25" i="4" s="1"/>
  <c r="AB112" i="4"/>
  <c r="AX112" i="4" s="1"/>
  <c r="AB36" i="4"/>
  <c r="AX36" i="4" s="1"/>
  <c r="DN36" i="4"/>
  <c r="DF114" i="4"/>
  <c r="BA79" i="4"/>
  <c r="DB114" i="4"/>
  <c r="BT53" i="4"/>
  <c r="CP53" i="4" s="1"/>
  <c r="DM53" i="4"/>
  <c r="BR116" i="4"/>
  <c r="BR128" i="4" s="1"/>
  <c r="BT5" i="4"/>
  <c r="CP5" i="4" s="1"/>
  <c r="BU24" i="4"/>
  <c r="BQ116" i="4"/>
  <c r="BQ128" i="4" s="1"/>
  <c r="BT76" i="4"/>
  <c r="CP76" i="4" s="1"/>
  <c r="DO76" i="4"/>
  <c r="DO13" i="4"/>
  <c r="BT13" i="4"/>
  <c r="CP13" i="4" s="1"/>
  <c r="AG128" i="4" l="1"/>
  <c r="BS125" i="4"/>
  <c r="BS127" i="4" s="1"/>
  <c r="DH128" i="4"/>
  <c r="DI128" i="4"/>
  <c r="BT102" i="4"/>
  <c r="CP102" i="4" s="1"/>
  <c r="BU123" i="4"/>
  <c r="BE128" i="4"/>
  <c r="BD128" i="4"/>
  <c r="BN116" i="4"/>
  <c r="DO102" i="4"/>
  <c r="BK128" i="4"/>
  <c r="DC125" i="4"/>
  <c r="DC127" i="4" s="1"/>
  <c r="CU116" i="4"/>
  <c r="CU128" i="4" s="1"/>
  <c r="AY120" i="4"/>
  <c r="DN120" i="4" s="1"/>
  <c r="DO103" i="4"/>
  <c r="DG128" i="4"/>
  <c r="CH128" i="4"/>
  <c r="CT125" i="4"/>
  <c r="CT127" i="4" s="1"/>
  <c r="BC127" i="4"/>
  <c r="DD127" i="4"/>
  <c r="DD128" i="4" s="1"/>
  <c r="CS125" i="4"/>
  <c r="CS127" i="4" s="1"/>
  <c r="CO116" i="4"/>
  <c r="AY121" i="4"/>
  <c r="DN121" i="4" s="1"/>
  <c r="AY123" i="4"/>
  <c r="DN123" i="4" s="1"/>
  <c r="BC116" i="4"/>
  <c r="DO22" i="4"/>
  <c r="BT49" i="4"/>
  <c r="CP49" i="4" s="1"/>
  <c r="DJ128" i="4"/>
  <c r="CI128" i="4"/>
  <c r="DF121" i="4"/>
  <c r="CQ121" i="4" s="1"/>
  <c r="DO121" i="4" s="1"/>
  <c r="CQ49" i="4"/>
  <c r="CQ57" i="4" s="1"/>
  <c r="DO57" i="4" s="1"/>
  <c r="AY57" i="4"/>
  <c r="DN57" i="4" s="1"/>
  <c r="BJ128" i="4"/>
  <c r="BN125" i="4"/>
  <c r="BN127" i="4" s="1"/>
  <c r="DK126" i="4"/>
  <c r="CQ126" i="4" s="1"/>
  <c r="DO126" i="4" s="1"/>
  <c r="AY122" i="4"/>
  <c r="DN122" i="4" s="1"/>
  <c r="AY24" i="4"/>
  <c r="DN24" i="4" s="1"/>
  <c r="BS116" i="4"/>
  <c r="BS128" i="4" s="1"/>
  <c r="CW128" i="4"/>
  <c r="BO127" i="4"/>
  <c r="BO128" i="4" s="1"/>
  <c r="CV128" i="4"/>
  <c r="DF116" i="4"/>
  <c r="AY126" i="4"/>
  <c r="DN126" i="4" s="1"/>
  <c r="DC128" i="4"/>
  <c r="CO125" i="4"/>
  <c r="CO127" i="4" s="1"/>
  <c r="CO128" i="4" s="1"/>
  <c r="CJ128" i="4"/>
  <c r="DK125" i="4"/>
  <c r="BT119" i="4"/>
  <c r="CP119" i="4" s="1"/>
  <c r="CQ123" i="4"/>
  <c r="BT94" i="4"/>
  <c r="CP94" i="4" s="1"/>
  <c r="BT123" i="4"/>
  <c r="CP123" i="4" s="1"/>
  <c r="BL128" i="4"/>
  <c r="BM128" i="4"/>
  <c r="BA116" i="4"/>
  <c r="AY119" i="4"/>
  <c r="DN119" i="4" s="1"/>
  <c r="DN98" i="4"/>
  <c r="CP57" i="4"/>
  <c r="BN128" i="4"/>
  <c r="CS116" i="4"/>
  <c r="CS128" i="4" s="1"/>
  <c r="AB124" i="4"/>
  <c r="AX124" i="4" s="1"/>
  <c r="DN124" i="4"/>
  <c r="BY128" i="4"/>
  <c r="AB57" i="4"/>
  <c r="AX57" i="4" s="1"/>
  <c r="AF125" i="4"/>
  <c r="AF127" i="4" s="1"/>
  <c r="AF128" i="4" s="1"/>
  <c r="AC118" i="4"/>
  <c r="BF128" i="4"/>
  <c r="BT118" i="4"/>
  <c r="CP118" i="4" s="1"/>
  <c r="AB126" i="4"/>
  <c r="AX126" i="4" s="1"/>
  <c r="BT122" i="4"/>
  <c r="CP122" i="4" s="1"/>
  <c r="AB94" i="4"/>
  <c r="AX94" i="4" s="1"/>
  <c r="BA125" i="4"/>
  <c r="BA127" i="4" s="1"/>
  <c r="AC116" i="4"/>
  <c r="DO24" i="4"/>
  <c r="BT24" i="4"/>
  <c r="CP24" i="4" s="1"/>
  <c r="BT57" i="4"/>
  <c r="AZ127" i="4"/>
  <c r="AZ128" i="4" s="1"/>
  <c r="DK79" i="4"/>
  <c r="DK116" i="4" s="1"/>
  <c r="CQ88" i="4"/>
  <c r="DO88" i="4" s="1"/>
  <c r="CQ118" i="4"/>
  <c r="AY79" i="4"/>
  <c r="DN79" i="4" s="1"/>
  <c r="DN58" i="4"/>
  <c r="CQ101" i="4"/>
  <c r="DO101" i="4" s="1"/>
  <c r="DK114" i="4"/>
  <c r="CT128" i="4"/>
  <c r="CQ67" i="4"/>
  <c r="CQ79" i="4" s="1"/>
  <c r="BB118" i="4"/>
  <c r="BB114" i="4"/>
  <c r="BB116" i="4" s="1"/>
  <c r="AY99" i="4"/>
  <c r="DN99" i="4" s="1"/>
  <c r="CQ119" i="4"/>
  <c r="DO119" i="4" s="1"/>
  <c r="DO58" i="4"/>
  <c r="CQ122" i="4"/>
  <c r="DO122" i="4" s="1"/>
  <c r="BT126" i="4"/>
  <c r="CP126" i="4" s="1"/>
  <c r="DO98" i="4"/>
  <c r="CQ120" i="4"/>
  <c r="DO120" i="4" s="1"/>
  <c r="BW128" i="4"/>
  <c r="CR127" i="4"/>
  <c r="CR128" i="4" s="1"/>
  <c r="AB79" i="4"/>
  <c r="AX79" i="4" s="1"/>
  <c r="G125" i="4"/>
  <c r="BT67" i="4"/>
  <c r="CP67" i="4" s="1"/>
  <c r="BU79" i="4"/>
  <c r="BU116" i="4" s="1"/>
  <c r="AY94" i="4"/>
  <c r="DN94" i="4" s="1"/>
  <c r="BT120" i="4"/>
  <c r="CP120" i="4" s="1"/>
  <c r="DE128" i="4"/>
  <c r="DO80" i="4"/>
  <c r="G116" i="4"/>
  <c r="AB120" i="4"/>
  <c r="AX120" i="4" s="1"/>
  <c r="DO123" i="4" l="1"/>
  <c r="BC128" i="4"/>
  <c r="BU125" i="4"/>
  <c r="DO49" i="4"/>
  <c r="DF125" i="4"/>
  <c r="DF127" i="4" s="1"/>
  <c r="DF128" i="4" s="1"/>
  <c r="DK127" i="4"/>
  <c r="DK128" i="4" s="1"/>
  <c r="BT116" i="4"/>
  <c r="CP116" i="4" s="1"/>
  <c r="BB125" i="4"/>
  <c r="BB127" i="4" s="1"/>
  <c r="BB128" i="4" s="1"/>
  <c r="AY118" i="4"/>
  <c r="AY125" i="4" s="1"/>
  <c r="AY127" i="4" s="1"/>
  <c r="CQ125" i="4"/>
  <c r="CQ127" i="4" s="1"/>
  <c r="BA128" i="4"/>
  <c r="BT125" i="4"/>
  <c r="CP125" i="4" s="1"/>
  <c r="BU127" i="4"/>
  <c r="BU128" i="4" s="1"/>
  <c r="G128" i="4"/>
  <c r="DM116" i="4"/>
  <c r="DO79" i="4"/>
  <c r="BT79" i="4"/>
  <c r="CP79" i="4" s="1"/>
  <c r="AB116" i="4"/>
  <c r="AX116" i="4" s="1"/>
  <c r="DO118" i="4"/>
  <c r="CQ94" i="4"/>
  <c r="DO94" i="4" s="1"/>
  <c r="DO67" i="4"/>
  <c r="CQ114" i="4"/>
  <c r="DO114" i="4" s="1"/>
  <c r="AB118" i="4"/>
  <c r="AX118" i="4" s="1"/>
  <c r="AC125" i="4"/>
  <c r="DM125" i="4"/>
  <c r="G127" i="4"/>
  <c r="DM127" i="4" s="1"/>
  <c r="AY114" i="4"/>
  <c r="DN114" i="4" s="1"/>
  <c r="DN118" i="4" l="1"/>
  <c r="BU131" i="4"/>
  <c r="BT127" i="4"/>
  <c r="CP127" i="4" s="1"/>
  <c r="DO127" i="4"/>
  <c r="CQ116" i="4"/>
  <c r="AB125" i="4"/>
  <c r="AX125" i="4" s="1"/>
  <c r="AC127" i="4"/>
  <c r="DN125" i="4"/>
  <c r="DO125" i="4"/>
  <c r="AY116" i="4"/>
  <c r="AC131" i="4" l="1"/>
  <c r="AB127" i="4"/>
  <c r="AX127" i="4" s="1"/>
  <c r="DN127" i="4"/>
  <c r="AC128" i="4"/>
  <c r="AY128" i="4"/>
  <c r="DN116" i="4"/>
  <c r="CQ128" i="4"/>
  <c r="DO116" i="4"/>
</calcChain>
</file>

<file path=xl/comments1.xml><?xml version="1.0" encoding="utf-8"?>
<comments xmlns="http://schemas.openxmlformats.org/spreadsheetml/2006/main">
  <authors>
    <author>Planeación</author>
    <author>MariaJimena</author>
  </authors>
  <commentLis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2.xml><?xml version="1.0" encoding="utf-8"?>
<comments xmlns="http://schemas.openxmlformats.org/spreadsheetml/2006/main">
  <authors>
    <author>Planeación</author>
    <author>MariaJimena</author>
  </authors>
  <commentLis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3.xml><?xml version="1.0" encoding="utf-8"?>
<comments xmlns="http://schemas.openxmlformats.org/spreadsheetml/2006/main">
  <authors>
    <author>Planeación</author>
    <author>MariaJimena</author>
  </authors>
  <commentLis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sharedStrings.xml><?xml version="1.0" encoding="utf-8"?>
<sst xmlns="http://schemas.openxmlformats.org/spreadsheetml/2006/main" count="1605" uniqueCount="390">
  <si>
    <t>PLAN DE ACCION 2017</t>
  </si>
  <si>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</si>
  <si>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</si>
  <si>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</si>
  <si>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</si>
  <si>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</si>
  <si>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</si>
  <si>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</si>
  <si>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</si>
  <si>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</si>
  <si>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</si>
  <si>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</si>
  <si>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</si>
  <si>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</si>
  <si>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</si>
  <si>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</si>
  <si>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</si>
  <si>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</si>
  <si>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R. NACION     CREE</t>
  </si>
  <si>
    <t>RECURSOS CREE 2016</t>
  </si>
  <si>
    <t>R.PROPIOS RENDIMIENTOS CREE</t>
  </si>
  <si>
    <t>D. COMPLEMENTARIOS</t>
  </si>
  <si>
    <t>APORTE DPTO.</t>
  </si>
  <si>
    <t>EST.DPTO.</t>
  </si>
  <si>
    <t>EST.  NEIVA</t>
  </si>
  <si>
    <t>EST. GARZÓN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</si>
  <si>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</si>
  <si>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</si>
  <si>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</si>
  <si>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</si>
  <si>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</si>
  <si>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</si>
  <si>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</si>
  <si>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</si>
  <si>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CONTRAPARTIDA USCO LCMS</t>
  </si>
  <si>
    <t>EXCED. FAC.</t>
  </si>
  <si>
    <t>%</t>
  </si>
  <si>
    <t>R. NACION</t>
  </si>
  <si>
    <t>R. NACION CREE</t>
  </si>
  <si>
    <t>D.COMPLEMENTARIOS</t>
  </si>
  <si>
    <t>EST. PITALITO</t>
  </si>
  <si>
    <t>CONTRAPARTIDA  USCO LCMS</t>
  </si>
  <si>
    <t>R.NACIÓN</t>
  </si>
  <si>
    <t>R. NACIÓN CREE</t>
  </si>
  <si>
    <t>R.RENDIMIENTOS CREE</t>
  </si>
  <si>
    <t>R. RENDIMIENTOS CREE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</si>
  <si>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</si>
  <si>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</si>
  <si>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</si>
  <si>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</si>
  <si>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</t>
  </si>
  <si>
    <t>SF-PY1.2</t>
  </si>
  <si>
    <t>Actividades para promover la Apropiación de la teleología Institucional. (Misión, La Visión, el Proyecto Educativo Institucional PEU).</t>
  </si>
  <si>
    <t>V. ACADÉMICA
F.C.E.N.</t>
  </si>
  <si>
    <t>SF-PY1.3</t>
  </si>
  <si>
    <t>Promoción de la imagen corporativa institucional, portafolio de servicios-oferta académica.</t>
  </si>
  <si>
    <t>V.ACADEMICA</t>
  </si>
  <si>
    <t>SF-PY2. Creación de nueva Oferta Académica en las Sedes.</t>
  </si>
  <si>
    <t>SF-PY2.1</t>
  </si>
  <si>
    <t>Apoyo a la realización de estudios y diseños para la creación de programas de pregrado y postgrados.</t>
  </si>
  <si>
    <t xml:space="preserve">
V.ACADEMICA
FACECO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</si>
  <si>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</si>
  <si>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</si>
  <si>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 Graduación y Permanencia.</t>
  </si>
  <si>
    <t>SF-PY3.2</t>
  </si>
  <si>
    <t>Capacitación Individual Docente.</t>
  </si>
  <si>
    <t xml:space="preserve">
V.ACADEMICA
F. INGENIERIA
FACECO
F.EDUCACION
F. SALUD
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</si>
  <si>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</si>
  <si>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</si>
  <si>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</si>
  <si>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</si>
  <si>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</si>
  <si>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</si>
  <si>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</si>
  <si>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FACECO 
F.EDUCACION
F.C.J.P.
F. SALUD</t>
  </si>
  <si>
    <t>SF-PY4.2</t>
  </si>
  <si>
    <t>Aprestamiento en Lectura Crítica y Matemática- Plan de Fomento a la Calidad-FASE I-Permanencia y graduación.</t>
  </si>
  <si>
    <t>SF-PY4.3</t>
  </si>
  <si>
    <t>Fortalecimiento de las Competencias Genéricas Saber Pro- Plan de Fomento a la Calidad-FASE I -Permanencia y graduación.</t>
  </si>
  <si>
    <t>SF-PY4.4</t>
  </si>
  <si>
    <t>Consejerías Académicas -Plan de Fomento a la Calidad-FASE I-Permanencia y graduación.</t>
  </si>
  <si>
    <t>SF-PY4.5</t>
  </si>
  <si>
    <t>Apoyo a la Politica de Inclusión-Permanencia y graduación.</t>
  </si>
  <si>
    <t>SF-PY5.  Acreditación de Alta Calidad de la Universidad</t>
  </si>
  <si>
    <t>SF-PY5.1</t>
  </si>
  <si>
    <t>Funcionamiento de la Unidad de Apoyo a los Procesos de Autoevaluación  y Acreditación Institucional.</t>
  </si>
  <si>
    <t>V.ACADEMICA
F. SALUD</t>
  </si>
  <si>
    <t>SF-PY5.2</t>
  </si>
  <si>
    <t>Procesos de Autoevaluación y Acreditación Institucional; Capacitaciones  y encuentros para apoyo con Universidades del país.</t>
  </si>
  <si>
    <t>SF-PY6. Relevo Generacional con Excelencia Académica.</t>
  </si>
  <si>
    <t>SF-PY6.1</t>
  </si>
  <si>
    <t>Definición de necesidades  de vinculación de docentes (Estudio) Proceso Acreditación.</t>
  </si>
  <si>
    <t>SF-PY6.2</t>
  </si>
  <si>
    <t>Evaluar y reformar la actual política de relevo generacional con base en criterios de excelencia académica, edad, otros (Documento aprobado). Proceso Acreditación.</t>
  </si>
  <si>
    <t>SF-PY7. Fortalecimiento de los Vínculos Universidad - Egresados.</t>
  </si>
  <si>
    <t>SF-PY7.1</t>
  </si>
  <si>
    <t>Portal Laboral, fortalecimiento del vínculo empresa-universidad-estado.</t>
  </si>
  <si>
    <t>SF-PY7.2</t>
  </si>
  <si>
    <t>Programa de Seguimiento a Graduados, Apoyo a procesos de educación continuada.</t>
  </si>
  <si>
    <t>V.ACADEMICA
FACECO
F. EDUCACIÓN</t>
  </si>
  <si>
    <t>SF-PY7.3</t>
  </si>
  <si>
    <t>Mejoramiento de la infraestructura tecnológica para el segumiento a egresados.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</si>
  <si>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</si>
  <si>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</si>
  <si>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</si>
  <si>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</si>
  <si>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</si>
  <si>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</si>
  <si>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</si>
  <si>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 xml:space="preserve"> Adquisición y renovación de  licencias software Y bases de datos especializadas  para  actividades de investigaciòn.</t>
  </si>
  <si>
    <t>SI-PY1.3</t>
  </si>
  <si>
    <t>Apoyo a la formación de alto nivel (Maestrias, doctorados, posdoctorados).</t>
  </si>
  <si>
    <t>VIPS
FACECO</t>
  </si>
  <si>
    <t>SI-PY1.4</t>
  </si>
  <si>
    <t>Fortalecimiento de las capacidades investigativas para la acreditación Institucional</t>
  </si>
  <si>
    <t>SI-PY1.5</t>
  </si>
  <si>
    <t>Fortalecimiento  de las capacidades investigativas de grupos de investigación en modalidad Proyectos.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</si>
  <si>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</si>
  <si>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</si>
  <si>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</si>
  <si>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</si>
  <si>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</si>
  <si>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</si>
  <si>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</si>
  <si>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</si>
  <si>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</si>
  <si>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</si>
  <si>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</si>
  <si>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</si>
  <si>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F.C.J.P.</t>
  </si>
  <si>
    <t>SI-PY2.6</t>
  </si>
  <si>
    <t>Apoyo a docentes para  realizar ponencias en eventos nacionales e internacionales.</t>
  </si>
  <si>
    <t>VIPS 
FACECO</t>
  </si>
  <si>
    <t>SI-PY2.7</t>
  </si>
  <si>
    <t>Consolidación de grupos de Investigación.</t>
  </si>
  <si>
    <t>SI-PY2.8</t>
  </si>
  <si>
    <t>Capacitación y participación de la Facultad de Ciencias Jurídicas y Políticas en eventos de formación.</t>
  </si>
  <si>
    <t>FCJP</t>
  </si>
  <si>
    <t>SI-PY2.9</t>
  </si>
  <si>
    <t>Apoyo al desarrollo de los Doctorados: Agroindustria y Desarrollo Agricola Sostenible;  Educación y Cultura Ambiental; en Ciencias de la Salud.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</si>
  <si>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</si>
  <si>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</si>
  <si>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</si>
  <si>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</si>
  <si>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</si>
  <si>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</si>
  <si>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F.C.EXACTAS</t>
  </si>
  <si>
    <t>SI-PY3.3</t>
  </si>
  <si>
    <t>Financiar la vinculación de  jóvenes investigadores.</t>
  </si>
  <si>
    <t>SI-PY3.4</t>
  </si>
  <si>
    <t>Capacitación y Desarrollo de talleres para la formación de la investigación.</t>
  </si>
  <si>
    <t>F. SALUD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</si>
  <si>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</si>
  <si>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</si>
  <si>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</si>
  <si>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</si>
  <si>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</si>
  <si>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INGENIERIA
F.EDUCACIÓN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</si>
  <si>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</si>
  <si>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</si>
  <si>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</si>
  <si>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</si>
  <si>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nacional y/o internacional.</t>
  </si>
  <si>
    <t>SI-PY6.  Articulación del Sistema Integrado de Información (TICS).</t>
  </si>
  <si>
    <t>SI-PY6.1</t>
  </si>
  <si>
    <t>Rediseño  procedimientos para  recolección y organización de información en sistemas integrados que sirvan para la toma de decisiones. Proceso Acreditación.</t>
  </si>
  <si>
    <t>SI-PY7.  Evaluación, dotación y consolidación de los Centros de Documentación, archivística y bases de datos.</t>
  </si>
  <si>
    <t>SI-PY7.1</t>
  </si>
  <si>
    <t>Estudio financiero  para la descentralización de los recursos de  dotación y actualización bibliográfica y bases de datos  del  Centro de Información y Documentación. Proceso Acreditación.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</si>
  <si>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</si>
  <si>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</si>
  <si>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</si>
  <si>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</si>
  <si>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Apoyo a Proyectos de Investigación ejecutados por los Centros de Desarrollo Tecnológicos.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</si>
  <si>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</si>
  <si>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</si>
  <si>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</si>
  <si>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F. INGENIERIA
FACECO</t>
  </si>
  <si>
    <t>SI-PY9.2</t>
  </si>
  <si>
    <t xml:space="preserve">Capacitación a editores de revistas científicas;  Taller escritura de artículos científicos. 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</si>
  <si>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</si>
  <si>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</si>
  <si>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</si>
  <si>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</si>
  <si>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</si>
  <si>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</si>
  <si>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</si>
  <si>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</si>
  <si>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F.C.J.P.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</si>
  <si>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</si>
  <si>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</si>
  <si>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</si>
  <si>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</si>
  <si>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 y expertos invitados.</t>
  </si>
  <si>
    <t>VIPS
F. SALUD
FACECO
F. EDUCACIÓN
FCJP</t>
  </si>
  <si>
    <t>SP-PY1.2</t>
  </si>
  <si>
    <t>Apoyo a la internacionalización de la investigación y la proyección social.</t>
  </si>
  <si>
    <t xml:space="preserve">
F. SALUD
FACECO</t>
  </si>
  <si>
    <t>SP-PY1.3</t>
  </si>
  <si>
    <t>Apoyo a los procesos y fortalecimiento de alianzas académico-administrativas entre la Universidad y organismos públicos y privados.</t>
  </si>
  <si>
    <t>FACECO</t>
  </si>
  <si>
    <t>SP-PY2.  Regionalización de la USCO</t>
  </si>
  <si>
    <t>SP-PY2.1</t>
  </si>
  <si>
    <t>Apoyo y gestión en acciones, proyectos y eventos para regionalización.</t>
  </si>
  <si>
    <t>VIPS
F. SALUD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</si>
  <si>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</si>
  <si>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</si>
  <si>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</si>
  <si>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</si>
  <si>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</si>
  <si>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</si>
  <si>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</si>
  <si>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VIPS
F. INGENIERIA
F.EDUCACIÓN
F.SALUD</t>
  </si>
  <si>
    <t>SP-PY3.4</t>
  </si>
  <si>
    <t>Apoyos a la realización y participación en  eventos de proyección social.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</si>
  <si>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</si>
  <si>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</si>
  <si>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</si>
  <si>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</si>
  <si>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F- INGENIERÍA
FACECO
F. EDUCACIÓN
FCJP</t>
  </si>
  <si>
    <t>SP-PY4.  Estructuración y desarrollo Unidades de Atención Especializada y de Emprendimiento e Innovación Institucional.</t>
  </si>
  <si>
    <t>SP-PY4.1</t>
  </si>
  <si>
    <t>Implementación y operacionalización de la Unidad de Emprendimiento e Innovación.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</si>
  <si>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</si>
  <si>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</si>
  <si>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</si>
  <si>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</si>
  <si>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</si>
  <si>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SP-PY5.3</t>
  </si>
  <si>
    <t>Estrategia de integración al postconflicto desde la salud Regional.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</si>
  <si>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</si>
  <si>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</si>
  <si>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</si>
  <si>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</si>
  <si>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</si>
  <si>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</si>
  <si>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</si>
  <si>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</si>
  <si>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</si>
  <si>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</si>
  <si>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</si>
  <si>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</si>
  <si>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Renovación Hosting y  elaboración de revista para comunicaciones y divulgación de actividades resultado de proyección social.</t>
  </si>
  <si>
    <t>SP-PY8.3</t>
  </si>
  <si>
    <t>Fortalecimiento de medios audiovisuales institucionales.</t>
  </si>
  <si>
    <t>SP-PY8.4</t>
  </si>
  <si>
    <t>Elaboración de prospectos, revistas e instructivos-publicidad.</t>
  </si>
  <si>
    <t>F. SALUD
F. INGENIERÍA
F. EDUCACIÓN
F.C.J.P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</si>
  <si>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</si>
  <si>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</si>
  <si>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</si>
  <si>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</si>
  <si>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</si>
  <si>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</si>
  <si>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</si>
  <si>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</si>
  <si>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</si>
  <si>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</si>
  <si>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</si>
  <si>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Sedes.</t>
  </si>
  <si>
    <t xml:space="preserve">
F.INGENIERIA
F. SALUD</t>
  </si>
  <si>
    <t>SB-PY1.5</t>
  </si>
  <si>
    <t>Atención apersonas en drogadicción, prostitución y E.T.V.  en las Sedes.</t>
  </si>
  <si>
    <t>SB-PY1.6</t>
  </si>
  <si>
    <t>USCO saludable.</t>
  </si>
  <si>
    <t>SB-PY1.7</t>
  </si>
  <si>
    <t>Proyecto de Inclusión y atención de la población con diversidad funcional en la USCO.</t>
  </si>
  <si>
    <t>GPIE</t>
  </si>
  <si>
    <t>SB-PY2.  Recreación y Deportes con responsabilidad y compromiso.</t>
  </si>
  <si>
    <t>SB-PY2.1</t>
  </si>
  <si>
    <t>Actividades deportivas de todas las Sedes.</t>
  </si>
  <si>
    <t>F.INGENIERIA
F. SALUD</t>
  </si>
  <si>
    <t>SB-PY3. Cultura con responsabilidad y compromiso.</t>
  </si>
  <si>
    <t>SB-PY3.1</t>
  </si>
  <si>
    <t>Actividades Culturales de todas las Sedes.</t>
  </si>
  <si>
    <t xml:space="preserve">
BIENESTAR
F.SALUD
FACECO
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</si>
  <si>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</si>
  <si>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</si>
  <si>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</si>
  <si>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 xml:space="preserve">
FACECO
F. EDUCACION
BIENESTAR
F.C.E.N.
F. SALUD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</si>
  <si>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</si>
  <si>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</si>
  <si>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</si>
  <si>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</si>
  <si>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</si>
  <si>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</si>
  <si>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</si>
  <si>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BIENESTAR
F. SALUD</t>
  </si>
  <si>
    <t>SB-PY6.  Promoción de la Permanencia y Graduación estudiantil en la Usco.</t>
  </si>
  <si>
    <t>SB-PY6.1</t>
  </si>
  <si>
    <t>Permanencia y graduación estudiantil.</t>
  </si>
  <si>
    <t>TOTAL SUBSISTEMA BIENESTAR UNIVERSITARIO</t>
  </si>
  <si>
    <t>ADMINISTRATIVO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</si>
  <si>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</si>
  <si>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</si>
  <si>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</t>
  </si>
  <si>
    <t>VIC. ADTIVA.
F. SALUD</t>
  </si>
  <si>
    <t>SA-PY1.2</t>
  </si>
  <si>
    <t>Realización de dos eventos para la socialización del Proyecto de actualización del Manual de Convivencia Estudiantíl. Proceso Acreditación.</t>
  </si>
  <si>
    <t>SECRETARIA GRAL.
OFICINA JURÍDICA</t>
  </si>
  <si>
    <t>SA-PY1.3</t>
  </si>
  <si>
    <t>Realización de dos eventos para la socialización del Proyecto del Estatuto Docente. Proceso Acreditación.</t>
  </si>
  <si>
    <t>SA-PY2.a  Construcción y mantenimiento de las Sedes.</t>
  </si>
  <si>
    <t>SA-PY2a.1</t>
  </si>
  <si>
    <t>Construcción de infraestructura física en todas las Sedes.</t>
  </si>
  <si>
    <t>BIENESTAR
F. EDUCACIÓN</t>
  </si>
  <si>
    <t>SA-PY2a.2</t>
  </si>
  <si>
    <t>Adecuaciones, mantenimientos y mejoras en infraestructura de todas las sedes.</t>
  </si>
  <si>
    <t>VIC.ADTIVA.
F. SALUD
F.INGENIERIA
FACECO
F.C.J.P.
F. EDUCACIÓN</t>
  </si>
  <si>
    <t>SA-PY2.b  Desarrollo, dotación y Mantenimiento de las Sedes.</t>
  </si>
  <si>
    <t>SA-PY2b.1</t>
  </si>
  <si>
    <t>Dotación de equipos, accesorios, reactivos e insumos para  laboratorios de todas las Sedes.</t>
  </si>
  <si>
    <t>VIC.ADTIVA.
F.INGENIERIA</t>
  </si>
  <si>
    <t>SA-PY2b.2</t>
  </si>
  <si>
    <t>Dotación de muebles y equipos de oficinas para todas las Sedes.</t>
  </si>
  <si>
    <t>VIC.ADTIVA.
F. SALUD 
FACECO
F.EDUCACIÓN
F.C.S.H.
F.C.J.P.
F.C.E.N.</t>
  </si>
  <si>
    <t>SA-PY2b.3</t>
  </si>
  <si>
    <t>Adquisición bibliografía.</t>
  </si>
  <si>
    <t xml:space="preserve">
VIC.ADTIVA.
F. SALUD
F. INGENIERÍA
FACECO
F. EDUCACIÓN
F.C.S.H
F.C.J.P.
F.C.E.N.</t>
  </si>
  <si>
    <t>SA-PY2b.4</t>
  </si>
  <si>
    <t xml:space="preserve"> Mantenimiento de Equipos de Laboratorio,  Muebles, accesorios y equipos de Oficina de todas las sedes.</t>
  </si>
  <si>
    <t>VIC.ADTIVA.
FACECO
F.C.J.P.
F. SALUD</t>
  </si>
  <si>
    <t>SA-PY2b.5</t>
  </si>
  <si>
    <t>Dotación de elementos de aseo y cafetería.</t>
  </si>
  <si>
    <t xml:space="preserve">
F. SALUD
F.EDUCACION
</t>
  </si>
  <si>
    <t>SA-PY2b.6</t>
  </si>
  <si>
    <t>Dotación, renovación de Software y licencias.</t>
  </si>
  <si>
    <t xml:space="preserve">VIC. ADTIVA.         F. SALUD
</t>
  </si>
  <si>
    <t>SA-PY2b.7</t>
  </si>
  <si>
    <t>Contratación personal para mantenimiento CTIC.</t>
  </si>
  <si>
    <t>VIC.ADTIVA.
FACECO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</si>
  <si>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</si>
  <si>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</si>
  <si>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</si>
  <si>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</si>
  <si>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VIC.ADTIVA.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</si>
  <si>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</si>
  <si>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</si>
  <si>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</si>
  <si>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</si>
  <si>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</si>
  <si>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</si>
  <si>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</si>
  <si>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</si>
  <si>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SA-PY3.4</t>
  </si>
  <si>
    <t xml:space="preserve"> Gestión de la estructura academico-administrativa y financiera.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</si>
  <si>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</si>
  <si>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</si>
  <si>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</si>
  <si>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</si>
  <si>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</si>
  <si>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</si>
  <si>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</si>
  <si>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F.INGENIERIA
F. EDUCACIÓN
F. SALUD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</si>
  <si>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</si>
  <si>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</si>
  <si>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</si>
  <si>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</si>
  <si>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</si>
  <si>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</si>
  <si>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</si>
  <si>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</si>
  <si>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</si>
  <si>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</si>
  <si>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TOTAL PLAN DE ACCION 2017</t>
  </si>
  <si>
    <t>EJECUCIÓN EN CDP</t>
  </si>
  <si>
    <t>$</t>
  </si>
  <si>
    <t>SALDOS POR EJECUTAR EN CDP</t>
  </si>
  <si>
    <t>EJECUCIÓN EN RP</t>
  </si>
  <si>
    <t xml:space="preserve">SALDOS POR EJECUTAR </t>
  </si>
  <si>
    <t>SUBSISTEMA ADMINISTRATIVO</t>
  </si>
  <si>
    <t>SUBSISTEMA DE FORMACION</t>
  </si>
  <si>
    <t>SUBSISTEMA: DE INVESTIGACIÓN</t>
  </si>
  <si>
    <t>SUBSISTEMA DE PROYECCION SOCIAL</t>
  </si>
  <si>
    <t>SUBSISTEMA BIENESTAR UNIVERSITARIO</t>
  </si>
  <si>
    <t xml:space="preserve">  ASIGNADO</t>
  </si>
  <si>
    <t>EJECUTADO</t>
  </si>
  <si>
    <t xml:space="preserve">        %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</si>
  <si>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</si>
  <si>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</si>
  <si>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</si>
  <si>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</si>
  <si>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</si>
  <si>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</si>
  <si>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</si>
  <si>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</si>
  <si>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</si>
  <si>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</si>
  <si>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 xml:space="preserve">EXTENSIÓN </t>
  </si>
  <si>
    <t>PROYECTOS INSTITUCIONALES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</si>
</sst>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&quot;$ &quot;#,##0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Arial"/>
      <family val="2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4" fillId="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6" fillId="0" borderId="0"/>
  </cellStyleXfs>
  <cellXfs count="239">
    <xf numFmtId="0" fontId="0" fillId="0" borderId="0" xfId="0"/>
    <xf numFmtId="0" fontId="4" fillId="3" borderId="2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4" fillId="3" borderId="1" xfId="0" applyFont="1" applyFill="1" applyBorder="1" applyAlignment="1">
      <alignment vertical="center" wrapText="1"/>
    </xf>
    <xf numFmtId="0" fontId="0" fillId="6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4" fillId="5" borderId="3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6" fillId="0" borderId="0" xfId="0" applyFont="1"/>
    <xf numFmtId="0" fontId="0" fillId="0" borderId="7" xfId="0" applyBorder="1" applyAlignment="1">
      <alignment vertical="center" textRotation="255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Border="1" applyAlignment="1">
      <alignment horizontal="center" vertical="center"/>
    </xf>
    <xf numFmtId="3" fontId="13" fillId="0" borderId="10" xfId="0" applyNumberFormat="1" applyFont="1" applyFill="1" applyBorder="1" applyAlignment="1">
      <alignment horizontal="right" vertical="center" wrapText="1"/>
    </xf>
    <xf numFmtId="3" fontId="13" fillId="0" borderId="1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9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3" fontId="10" fillId="0" borderId="1" xfId="0" applyNumberFormat="1" applyFont="1" applyFill="1" applyBorder="1" applyAlignment="1">
      <alignment horizontal="center" wrapText="1"/>
    </xf>
    <xf numFmtId="3" fontId="13" fillId="3" borderId="1" xfId="0" applyNumberFormat="1" applyFont="1" applyFill="1" applyBorder="1" applyAlignment="1">
      <alignment horizontal="right" vertical="center" wrapText="1"/>
    </xf>
    <xf numFmtId="0" fontId="0" fillId="0" borderId="7" xfId="0" applyFont="1" applyBorder="1" applyAlignment="1">
      <alignment horizontal="left" vertical="top" wrapText="1"/>
    </xf>
    <xf numFmtId="3" fontId="0" fillId="0" borderId="0" xfId="0" applyNumberFormat="1"/>
    <xf numFmtId="0" fontId="0" fillId="0" borderId="1" xfId="0" applyFont="1" applyBorder="1" applyAlignment="1">
      <alignment horizontal="left" vertical="top" wrapText="1"/>
    </xf>
    <xf numFmtId="0" fontId="0" fillId="0" borderId="11" xfId="0" applyBorder="1" applyAlignment="1">
      <alignment vertical="center" textRotation="255"/>
    </xf>
    <xf numFmtId="0" fontId="0" fillId="0" borderId="13" xfId="0" applyFont="1" applyBorder="1" applyAlignment="1">
      <alignment horizontal="left" vertical="top" wrapText="1"/>
    </xf>
    <xf numFmtId="0" fontId="9" fillId="0" borderId="14" xfId="0" applyFont="1" applyFill="1" applyBorder="1" applyAlignment="1">
      <alignment vertical="center" wrapText="1"/>
    </xf>
    <xf numFmtId="3" fontId="11" fillId="3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 applyAlignment="1">
      <alignment textRotation="255"/>
    </xf>
    <xf numFmtId="3" fontId="10" fillId="7" borderId="18" xfId="0" applyNumberFormat="1" applyFont="1" applyFill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vertical="center" wrapText="1"/>
    </xf>
    <xf numFmtId="10" fontId="12" fillId="7" borderId="18" xfId="0" applyNumberFormat="1" applyFont="1" applyFill="1" applyBorder="1" applyAlignment="1">
      <alignment horizontal="center" vertical="center"/>
    </xf>
    <xf numFmtId="3" fontId="9" fillId="7" borderId="18" xfId="0" applyNumberFormat="1" applyFont="1" applyFill="1" applyBorder="1" applyAlignment="1">
      <alignment vertical="center" wrapText="1"/>
    </xf>
    <xf numFmtId="10" fontId="12" fillId="7" borderId="1" xfId="0" applyNumberFormat="1" applyFont="1" applyFill="1" applyBorder="1" applyAlignment="1">
      <alignment horizontal="center" vertical="center"/>
    </xf>
    <xf numFmtId="0" fontId="0" fillId="3" borderId="0" xfId="0" applyFill="1"/>
    <xf numFmtId="3" fontId="10" fillId="0" borderId="11" xfId="0" applyNumberFormat="1" applyFont="1" applyFill="1" applyBorder="1" applyAlignment="1">
      <alignment horizontal="center"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3" fontId="13" fillId="3" borderId="11" xfId="0" applyNumberFormat="1" applyFont="1" applyFill="1" applyBorder="1" applyAlignment="1">
      <alignment horizontal="right" vertical="center" wrapText="1"/>
    </xf>
    <xf numFmtId="3" fontId="13" fillId="0" borderId="11" xfId="0" applyNumberFormat="1" applyFont="1" applyFill="1" applyBorder="1" applyAlignment="1">
      <alignment horizontal="right" vertical="center" wrapText="1"/>
    </xf>
    <xf numFmtId="10" fontId="12" fillId="0" borderId="11" xfId="0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left" vertical="top" wrapText="1"/>
    </xf>
    <xf numFmtId="3" fontId="0" fillId="3" borderId="0" xfId="0" applyNumberFormat="1" applyFill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9" fillId="0" borderId="1" xfId="0" applyFont="1" applyFill="1" applyBorder="1" applyAlignment="1">
      <alignment horizontal="left" vertical="top" wrapText="1"/>
    </xf>
    <xf numFmtId="0" fontId="0" fillId="7" borderId="1" xfId="0" applyFill="1" applyBorder="1" applyAlignment="1"/>
    <xf numFmtId="3" fontId="10" fillId="7" borderId="1" xfId="0" applyNumberFormat="1" applyFont="1" applyFill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horizontal="right" vertical="center" wrapText="1"/>
    </xf>
    <xf numFmtId="3" fontId="1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top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 wrapText="1"/>
    </xf>
    <xf numFmtId="3" fontId="10" fillId="0" borderId="7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3" fontId="11" fillId="0" borderId="11" xfId="0" applyNumberFormat="1" applyFont="1" applyFill="1" applyBorder="1" applyAlignment="1">
      <alignment horizontal="right" vertical="center" wrapText="1"/>
    </xf>
    <xf numFmtId="0" fontId="13" fillId="3" borderId="1" xfId="0" applyFont="1" applyFill="1" applyBorder="1" applyAlignment="1">
      <alignment horizontal="center" vertical="center" wrapText="1"/>
    </xf>
    <xf numFmtId="3" fontId="13" fillId="3" borderId="7" xfId="0" applyNumberFormat="1" applyFont="1" applyFill="1" applyBorder="1" applyAlignment="1">
      <alignment horizontal="right" vertical="center" wrapText="1"/>
    </xf>
    <xf numFmtId="3" fontId="13" fillId="3" borderId="12" xfId="0" applyNumberFormat="1" applyFont="1" applyFill="1" applyBorder="1" applyAlignment="1">
      <alignment horizontal="right" vertical="center" wrapText="1"/>
    </xf>
    <xf numFmtId="3" fontId="13" fillId="0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/>
    <xf numFmtId="3" fontId="10" fillId="0" borderId="1" xfId="0" applyNumberFormat="1" applyFont="1" applyFill="1" applyBorder="1" applyAlignment="1">
      <alignment horizontal="center" vertical="top" wrapText="1"/>
    </xf>
    <xf numFmtId="0" fontId="7" fillId="3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7" borderId="18" xfId="0" applyFill="1" applyBorder="1"/>
    <xf numFmtId="0" fontId="7" fillId="7" borderId="16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3" fontId="0" fillId="3" borderId="0" xfId="0" applyNumberFormat="1" applyFill="1"/>
    <xf numFmtId="0" fontId="7" fillId="3" borderId="4" xfId="0" applyFont="1" applyFill="1" applyBorder="1" applyAlignment="1">
      <alignment horizontal="center" vertical="center" wrapText="1"/>
    </xf>
    <xf numFmtId="3" fontId="20" fillId="3" borderId="4" xfId="0" applyNumberFormat="1" applyFont="1" applyFill="1" applyBorder="1" applyAlignment="1">
      <alignment horizontal="right" vertical="center" wrapText="1"/>
    </xf>
    <xf numFmtId="3" fontId="20" fillId="3" borderId="11" xfId="0" applyNumberFormat="1" applyFont="1" applyFill="1" applyBorder="1" applyAlignment="1">
      <alignment horizontal="right" vertical="center" wrapText="1"/>
    </xf>
    <xf numFmtId="3" fontId="13" fillId="3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3" fillId="0" borderId="21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7" fillId="3" borderId="9" xfId="0" applyFont="1" applyFill="1" applyBorder="1" applyAlignment="1">
      <alignment vertical="center" wrapText="1"/>
    </xf>
    <xf numFmtId="0" fontId="0" fillId="3" borderId="9" xfId="0" applyFill="1" applyBorder="1"/>
    <xf numFmtId="3" fontId="9" fillId="0" borderId="9" xfId="0" applyNumberFormat="1" applyFont="1" applyFill="1" applyBorder="1"/>
    <xf numFmtId="3" fontId="9" fillId="0" borderId="1" xfId="0" applyNumberFormat="1" applyFont="1" applyFill="1" applyBorder="1"/>
    <xf numFmtId="3" fontId="7" fillId="3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7" fillId="3" borderId="9" xfId="0" applyNumberFormat="1" applyFont="1" applyFill="1" applyBorder="1" applyAlignment="1">
      <alignment horizontal="right" vertical="center" wrapText="1"/>
    </xf>
    <xf numFmtId="0" fontId="9" fillId="0" borderId="8" xfId="0" applyFont="1" applyFill="1" applyBorder="1"/>
    <xf numFmtId="0" fontId="9" fillId="0" borderId="9" xfId="0" applyFont="1" applyFill="1" applyBorder="1"/>
    <xf numFmtId="0" fontId="0" fillId="0" borderId="1" xfId="0" applyFill="1" applyBorder="1"/>
    <xf numFmtId="3" fontId="7" fillId="0" borderId="1" xfId="0" applyNumberFormat="1" applyFont="1" applyBorder="1" applyAlignment="1">
      <alignment horizontal="right" wrapText="1"/>
    </xf>
    <xf numFmtId="0" fontId="7" fillId="0" borderId="1" xfId="0" applyFont="1" applyBorder="1" applyAlignment="1">
      <alignment horizontal="right" vertical="center" wrapText="1"/>
    </xf>
    <xf numFmtId="3" fontId="7" fillId="0" borderId="1" xfId="0" applyNumberFormat="1" applyFont="1" applyBorder="1" applyAlignment="1">
      <alignment vertical="center" wrapText="1"/>
    </xf>
    <xf numFmtId="3" fontId="13" fillId="0" borderId="1" xfId="0" applyNumberFormat="1" applyFont="1" applyBorder="1" applyAlignment="1">
      <alignment vertical="center" wrapText="1"/>
    </xf>
    <xf numFmtId="3" fontId="7" fillId="0" borderId="8" xfId="0" applyNumberFormat="1" applyFont="1" applyBorder="1" applyAlignment="1">
      <alignment vertical="center" wrapText="1"/>
    </xf>
    <xf numFmtId="10" fontId="0" fillId="3" borderId="1" xfId="0" applyNumberForma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vertical="center" wrapText="1"/>
    </xf>
    <xf numFmtId="164" fontId="13" fillId="0" borderId="8" xfId="0" applyNumberFormat="1" applyFont="1" applyBorder="1" applyAlignment="1">
      <alignment vertical="center" wrapText="1"/>
    </xf>
    <xf numFmtId="10" fontId="9" fillId="3" borderId="1" xfId="0" applyNumberFormat="1" applyFont="1" applyFill="1" applyBorder="1" applyAlignment="1">
      <alignment horizontal="center" vertical="center"/>
    </xf>
    <xf numFmtId="3" fontId="13" fillId="0" borderId="8" xfId="0" applyNumberFormat="1" applyFont="1" applyBorder="1" applyAlignment="1">
      <alignment vertical="center" wrapText="1"/>
    </xf>
    <xf numFmtId="164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Border="1" applyAlignment="1">
      <alignment horizontal="right"/>
    </xf>
    <xf numFmtId="0" fontId="7" fillId="3" borderId="1" xfId="0" applyFont="1" applyFill="1" applyBorder="1" applyAlignment="1">
      <alignment horizontal="right" vertical="center" wrapText="1"/>
    </xf>
    <xf numFmtId="0" fontId="0" fillId="0" borderId="1" xfId="0" applyBorder="1"/>
    <xf numFmtId="3" fontId="0" fillId="0" borderId="1" xfId="0" applyNumberFormat="1" applyBorder="1"/>
    <xf numFmtId="3" fontId="13" fillId="0" borderId="1" xfId="0" applyNumberFormat="1" applyFont="1" applyBorder="1"/>
    <xf numFmtId="3" fontId="7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8" xfId="0" applyBorder="1"/>
    <xf numFmtId="3" fontId="0" fillId="0" borderId="18" xfId="0" applyNumberFormat="1" applyBorder="1"/>
    <xf numFmtId="3" fontId="13" fillId="0" borderId="18" xfId="0" applyNumberFormat="1" applyFont="1" applyBorder="1"/>
    <xf numFmtId="3" fontId="13" fillId="3" borderId="18" xfId="0" applyNumberFormat="1" applyFont="1" applyFill="1" applyBorder="1"/>
    <xf numFmtId="10" fontId="0" fillId="3" borderId="18" xfId="0" applyNumberFormat="1" applyFill="1" applyBorder="1" applyAlignment="1">
      <alignment horizontal="center" vertical="center"/>
    </xf>
    <xf numFmtId="3" fontId="13" fillId="0" borderId="17" xfId="0" applyNumberFormat="1" applyFont="1" applyBorder="1"/>
    <xf numFmtId="3" fontId="13" fillId="0" borderId="17" xfId="0" applyNumberFormat="1" applyFont="1" applyFill="1" applyBorder="1" applyAlignment="1">
      <alignment horizontal="right" vertical="center" wrapText="1"/>
    </xf>
    <xf numFmtId="10" fontId="9" fillId="3" borderId="18" xfId="0" applyNumberFormat="1" applyFont="1" applyFill="1" applyBorder="1" applyAlignment="1">
      <alignment horizontal="center" vertical="center"/>
    </xf>
    <xf numFmtId="3" fontId="13" fillId="0" borderId="18" xfId="0" applyNumberFormat="1" applyFont="1" applyFill="1" applyBorder="1" applyAlignment="1">
      <alignment horizontal="right" vertical="center" wrapText="1"/>
    </xf>
    <xf numFmtId="3" fontId="13" fillId="0" borderId="15" xfId="0" applyNumberFormat="1" applyFont="1" applyBorder="1"/>
    <xf numFmtId="10" fontId="12" fillId="0" borderId="18" xfId="0" applyNumberFormat="1" applyFont="1" applyBorder="1" applyAlignment="1">
      <alignment horizontal="center" vertical="center"/>
    </xf>
    <xf numFmtId="3" fontId="7" fillId="0" borderId="18" xfId="0" applyNumberFormat="1" applyFont="1" applyBorder="1"/>
    <xf numFmtId="0" fontId="0" fillId="0" borderId="0" xfId="0" applyBorder="1"/>
    <xf numFmtId="165" fontId="21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Border="1"/>
    <xf numFmtId="3" fontId="13" fillId="0" borderId="0" xfId="0" applyNumberFormat="1" applyFont="1" applyBorder="1"/>
    <xf numFmtId="0" fontId="4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14" fillId="7" borderId="15" xfId="0" applyFont="1" applyFill="1" applyBorder="1" applyAlignment="1">
      <alignment horizontal="left" vertical="center" wrapText="1"/>
    </xf>
    <xf numFmtId="0" fontId="27" fillId="3" borderId="0" xfId="0" applyFont="1" applyFill="1" applyBorder="1" applyAlignment="1">
      <alignment horizontal="center" vertical="center"/>
    </xf>
    <xf numFmtId="0" fontId="27" fillId="3" borderId="0" xfId="0" applyFont="1" applyFill="1" applyBorder="1" applyAlignment="1">
      <alignment vertical="center"/>
    </xf>
    <xf numFmtId="0" fontId="27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/>
    <xf numFmtId="9" fontId="0" fillId="0" borderId="0" xfId="0" applyNumberFormat="1"/>
    <xf numFmtId="0" fontId="9" fillId="0" borderId="0" xfId="0" applyFont="1"/>
    <xf numFmtId="0" fontId="9" fillId="0" borderId="0" xfId="0" applyFont="1" applyFill="1"/>
    <xf numFmtId="0" fontId="9" fillId="3" borderId="0" xfId="0" applyFont="1" applyFill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3" fontId="2" fillId="0" borderId="3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top" wrapText="1"/>
    </xf>
    <xf numFmtId="0" fontId="0" fillId="0" borderId="11" xfId="0" applyFont="1" applyBorder="1" applyAlignment="1">
      <alignment vertical="top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4" fillId="7" borderId="15" xfId="0" applyFont="1" applyFill="1" applyBorder="1" applyAlignment="1">
      <alignment horizontal="center" vertical="center" wrapText="1"/>
    </xf>
    <xf numFmtId="0" fontId="14" fillId="7" borderId="16" xfId="0" applyFont="1" applyFill="1" applyBorder="1" applyAlignment="1">
      <alignment horizontal="center" vertical="center" wrapText="1"/>
    </xf>
    <xf numFmtId="0" fontId="14" fillId="7" borderId="17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/>
    </xf>
    <xf numFmtId="0" fontId="14" fillId="7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9" fillId="0" borderId="7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 textRotation="255"/>
    </xf>
    <xf numFmtId="0" fontId="18" fillId="7" borderId="15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9" fillId="0" borderId="19" xfId="0" applyFont="1" applyFill="1" applyBorder="1" applyAlignment="1">
      <alignment horizontal="left" vertical="center" wrapText="1"/>
    </xf>
    <xf numFmtId="0" fontId="9" fillId="0" borderId="20" xfId="0" applyFont="1" applyFill="1" applyBorder="1" applyAlignment="1">
      <alignment horizontal="left" vertical="center" wrapText="1"/>
    </xf>
    <xf numFmtId="0" fontId="19" fillId="7" borderId="15" xfId="0" applyFont="1" applyFill="1" applyBorder="1" applyAlignment="1">
      <alignment horizontal="center" vertical="center" wrapText="1"/>
    </xf>
    <xf numFmtId="0" fontId="19" fillId="7" borderId="16" xfId="0" applyFont="1" applyFill="1" applyBorder="1" applyAlignment="1">
      <alignment horizontal="center" vertical="center" wrapText="1"/>
    </xf>
    <xf numFmtId="0" fontId="19" fillId="7" borderId="1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6" borderId="2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14" fillId="7" borderId="15" xfId="0" applyFont="1" applyFill="1" applyBorder="1" applyAlignment="1">
      <alignment horizontal="left" vertical="center" wrapText="1"/>
    </xf>
    <xf numFmtId="0" fontId="14" fillId="7" borderId="16" xfId="0" applyFont="1" applyFill="1" applyBorder="1" applyAlignment="1">
      <alignment horizontal="left" vertical="center" wrapText="1"/>
    </xf>
    <xf numFmtId="0" fontId="14" fillId="7" borderId="17" xfId="0" applyFont="1" applyFill="1" applyBorder="1" applyAlignment="1">
      <alignment horizontal="left" vertical="center" wrapText="1"/>
    </xf>
    <xf numFmtId="0" fontId="17" fillId="7" borderId="15" xfId="0" applyFont="1" applyFill="1" applyBorder="1" applyAlignment="1">
      <alignment horizontal="left" vertical="center" wrapText="1"/>
    </xf>
    <xf numFmtId="0" fontId="17" fillId="7" borderId="16" xfId="0" applyFont="1" applyFill="1" applyBorder="1" applyAlignment="1">
      <alignment horizontal="left" vertical="center" wrapText="1"/>
    </xf>
    <xf numFmtId="0" fontId="17" fillId="7" borderId="17" xfId="0" applyFont="1" applyFill="1" applyBorder="1" applyAlignment="1">
      <alignment horizontal="left" vertical="center" wrapText="1"/>
    </xf>
    <xf numFmtId="0" fontId="14" fillId="7" borderId="8" xfId="0" applyFont="1" applyFill="1" applyBorder="1" applyAlignment="1">
      <alignment horizontal="left" vertical="center" wrapText="1"/>
    </xf>
    <xf numFmtId="0" fontId="14" fillId="7" borderId="9" xfId="0" applyFont="1" applyFill="1" applyBorder="1" applyAlignment="1">
      <alignment horizontal="left" vertical="center" wrapText="1"/>
    </xf>
    <xf numFmtId="0" fontId="14" fillId="7" borderId="10" xfId="0" applyFont="1" applyFill="1" applyBorder="1" applyAlignment="1">
      <alignment horizontal="left" vertical="center" wrapText="1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7479296"/>
        <c:axId val="117480832"/>
        <c:axId val="0"/>
      </c:bar3DChart>
      <c:catAx>
        <c:axId val="117479296"/>
        <c:scaling>
          <c:orientation val="minMax"/>
        </c:scaling>
        <c:delete val="0"/>
        <c:axPos val="b"/>
        <c:majorTickMark val="none"/>
        <c:minorTickMark val="none"/>
        <c:tickLblPos val="nextTo"/>
        <c:crossAx val="117480832"/>
        <c:crosses val="autoZero"/>
        <c:auto val="1"/>
        <c:lblAlgn val="ctr"/>
        <c:lblOffset val="100"/>
        <c:noMultiLvlLbl val="0"/>
      </c:catAx>
      <c:valAx>
        <c:axId val="117480832"/>
        <c:scaling>
          <c:orientation val="minMax"/>
        </c:scaling>
        <c:delete val="0"/>
        <c:axPos val="l"/>
        <c:majorGridlines/>
        <c:title>
          <c:layout/>
          <c:overlay val="0"/>
        </c:title>
        <c:majorTickMark val="none"/>
        <c:minorTickMark val="none"/>
        <c:tickLblPos val="nextTo"/>
        <c:crossAx val="1174792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>
                <a:latin typeface="Arial" pitchFamily="34" charset="0"/>
                <a:cs typeface="Arial" pitchFamily="34" charset="0"/>
              </a:rPr>
              <a:t>EJECUCIÓN</a:t>
            </a:r>
            <a:r>
              <a:rPr lang="es-CO" sz="1400" baseline="0">
                <a:latin typeface="Arial" pitchFamily="34" charset="0"/>
                <a:cs typeface="Arial" pitchFamily="34" charset="0"/>
              </a:rPr>
              <a:t> PLAN DE ACCIÓN POR SUBSISTEMA A 31 DE AGOSTO  DE 2017</a:t>
            </a:r>
            <a:endParaRPr lang="es-CO" sz="1400"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23093215890386584"/>
          <c:y val="4.022121669180493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7066956773621496E-2"/>
          <c:y val="0.13715704089025071"/>
          <c:w val="0.88001795479019207"/>
          <c:h val="0.6789092766119166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A AGOS 17 CONSOLIDADO'!$DO$3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0169491525423728E-2"/>
                  <c:y val="-2.4132730015083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6158192090395481E-2"/>
                  <c:y val="-1.80995475113122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2598870056497175E-2"/>
                  <c:y val="-1.60884866767219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4689265536723247E-2"/>
                  <c:y val="-2.21216691804927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92090395480226E-2"/>
                  <c:y val="-2.01106083459024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AGOS 17 CONSOLIDADO'!$DN$4:$DN$114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AGOS 17 CONSOLIDADO'!$DO$4:$DO$114</c:f>
              <c:numCache>
                <c:formatCode>#,##0</c:formatCode>
                <c:ptCount val="5"/>
                <c:pt idx="0">
                  <c:v>1816258531</c:v>
                </c:pt>
                <c:pt idx="1">
                  <c:v>7127077871</c:v>
                </c:pt>
                <c:pt idx="2">
                  <c:v>2532390317</c:v>
                </c:pt>
                <c:pt idx="3">
                  <c:v>3178839833</c:v>
                </c:pt>
                <c:pt idx="4">
                  <c:v>7370293649</c:v>
                </c:pt>
              </c:numCache>
            </c:numRef>
          </c:val>
        </c:ser>
        <c:ser>
          <c:idx val="1"/>
          <c:order val="1"/>
          <c:tx>
            <c:strRef>
              <c:f>'P. ACCIÓN A AGOS 17 CONSOLIDADO'!$DP$3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5028248587570622E-2"/>
                  <c:y val="-1.20663650075414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7288135593220299E-2"/>
                  <c:y val="-2.01106083459024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7288135593220341E-2"/>
                  <c:y val="-1.80995475113121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8418079096045117E-2"/>
                  <c:y val="-1.20663650075414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7288135593220341E-2"/>
                  <c:y val="-2.41327300150829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AGOS 17 CONSOLIDADO'!$DN$4:$DN$114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AGOS 17 CONSOLIDADO'!$DP$4:$DP$114</c:f>
              <c:numCache>
                <c:formatCode>#,##0</c:formatCode>
                <c:ptCount val="5"/>
                <c:pt idx="0">
                  <c:v>1073114118</c:v>
                </c:pt>
                <c:pt idx="1">
                  <c:v>4494789932</c:v>
                </c:pt>
                <c:pt idx="2">
                  <c:v>1888121099</c:v>
                </c:pt>
                <c:pt idx="3">
                  <c:v>2841101200</c:v>
                </c:pt>
                <c:pt idx="4">
                  <c:v>4050551624</c:v>
                </c:pt>
              </c:numCache>
            </c:numRef>
          </c:val>
        </c:ser>
        <c:ser>
          <c:idx val="2"/>
          <c:order val="2"/>
          <c:tx>
            <c:strRef>
              <c:f>'P. ACCIÓN A AGOS 17 CONSOLIDADO'!$DQ$3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3728813559322035E-2"/>
                  <c:y val="-1.20663650075414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0338983050847456E-2"/>
                  <c:y val="-8.04424333836098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4689265536723164E-2"/>
                  <c:y val="-1.40774258421317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6949152542372881E-2"/>
                  <c:y val="-1.20663650075414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3728813559322035E-2"/>
                  <c:y val="-1.60884866767219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AGOS 17 CONSOLIDADO'!$DN$4:$DN$114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AGOS 17 CONSOLIDADO'!$DQ$4:$DQ$114</c:f>
              <c:numCache>
                <c:formatCode>0%</c:formatCode>
                <c:ptCount val="5"/>
                <c:pt idx="0">
                  <c:v>0.59083775777733705</c:v>
                </c:pt>
                <c:pt idx="1">
                  <c:v>0.63066378863197914</c:v>
                </c:pt>
                <c:pt idx="2">
                  <c:v>0.74558850044757929</c:v>
                </c:pt>
                <c:pt idx="3">
                  <c:v>0.89375412076636074</c:v>
                </c:pt>
                <c:pt idx="4">
                  <c:v>0.54957805168991847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17533696"/>
        <c:axId val="117539584"/>
        <c:axId val="0"/>
      </c:bar3DChart>
      <c:catAx>
        <c:axId val="117533696"/>
        <c:scaling>
          <c:orientation val="minMax"/>
        </c:scaling>
        <c:delete val="0"/>
        <c:axPos val="b"/>
        <c:majorTickMark val="none"/>
        <c:minorTickMark val="none"/>
        <c:tickLblPos val="nextTo"/>
        <c:crossAx val="117539584"/>
        <c:crosses val="autoZero"/>
        <c:auto val="1"/>
        <c:lblAlgn val="ctr"/>
        <c:lblOffset val="100"/>
        <c:noMultiLvlLbl val="0"/>
      </c:catAx>
      <c:valAx>
        <c:axId val="117539584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crossAx val="11753369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40589252190933761"/>
          <c:y val="0.90586715122148198"/>
          <c:w val="0.31214787134659017"/>
          <c:h val="6.0458981088902346E-2"/>
        </c:manualLayout>
      </c:layout>
      <c:overlay val="0"/>
      <c:txPr>
        <a:bodyPr/>
        <a:lstStyle/>
        <a:p>
          <a:pPr>
            <a:defRPr b="1"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CO" sz="1400">
                <a:latin typeface="Arial" pitchFamily="34" charset="0"/>
                <a:cs typeface="Arial" pitchFamily="34" charset="0"/>
              </a:rPr>
              <a:t>EJECUCIÓN</a:t>
            </a:r>
            <a:r>
              <a:rPr lang="es-CO" sz="1400" baseline="0">
                <a:latin typeface="Arial" pitchFamily="34" charset="0"/>
                <a:cs typeface="Arial" pitchFamily="34" charset="0"/>
              </a:rPr>
              <a:t> PLAN DE ACCIÓN POR RUBROS PRESUPUESTALES A 31 DE  AGOSTO DE 2017</a:t>
            </a:r>
            <a:endParaRPr lang="es-CO" sz="1400"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18737784794742629"/>
          <c:y val="2.3352605389314003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3225224501992485E-2"/>
          <c:y val="0.12706641832699289"/>
          <c:w val="0.89744227171263746"/>
          <c:h val="0.65025177050880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A AGOS 17 CONSOLIDADO'!$DO$119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3789294817332201E-2"/>
                  <c:y val="-1.25687321613072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2461059190031152E-2"/>
                  <c:y val="-1.04739434677560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2656471254602097E-2"/>
                  <c:y val="-1.04739434677560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4726706315491363E-2"/>
                  <c:y val="-8.37915477420487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9258000566411783E-2"/>
                  <c:y val="-8.37915477420479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0195412064570943E-2"/>
                  <c:y val="-1.04739434677560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0195412064570943E-2"/>
                  <c:y val="-1.25687321613072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3593882752761258E-2"/>
                  <c:y val="-1.2568732161307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AGOS 17 CONSOLIDADO'!$DN$120:$DN$127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 ACCIÓN A AGOS 17 CONSOLIDADO'!$DO$120:$DO$127</c:f>
              <c:numCache>
                <c:formatCode>#,##0</c:formatCode>
                <c:ptCount val="8"/>
                <c:pt idx="0">
                  <c:v>2258401424</c:v>
                </c:pt>
                <c:pt idx="1">
                  <c:v>3737298707</c:v>
                </c:pt>
                <c:pt idx="2">
                  <c:v>787030623</c:v>
                </c:pt>
                <c:pt idx="3">
                  <c:v>7127077871</c:v>
                </c:pt>
                <c:pt idx="4">
                  <c:v>1580182191</c:v>
                </c:pt>
                <c:pt idx="5">
                  <c:v>2532390317</c:v>
                </c:pt>
                <c:pt idx="6">
                  <c:v>823639235</c:v>
                </c:pt>
                <c:pt idx="7">
                  <c:v>3178839833</c:v>
                </c:pt>
              </c:numCache>
            </c:numRef>
          </c:val>
        </c:ser>
        <c:ser>
          <c:idx val="1"/>
          <c:order val="1"/>
          <c:tx>
            <c:strRef>
              <c:f>'P. ACCIÓN A AGOS 17 CONSOLIDADO'!$DP$119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7187765505522515E-2"/>
                  <c:y val="-8.37915477420487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4180118946474084E-2"/>
                  <c:y val="-1.46635208548585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1719059756442937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8516001132823566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058623619371283E-2"/>
                  <c:y val="-4.18957738710243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1914471821013877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2851883319173041E-2"/>
                  <c:y val="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5.6641178136505238E-2"/>
                  <c:y val="3.98009851774731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AGOS 17 CONSOLIDADO'!$DN$120:$DN$127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 ACCIÓN A AGOS 17 CONSOLIDADO'!$DP$120:$DP$127</c:f>
              <c:numCache>
                <c:formatCode>#,##0</c:formatCode>
                <c:ptCount val="8"/>
                <c:pt idx="0">
                  <c:v>861949873</c:v>
                </c:pt>
                <c:pt idx="1">
                  <c:v>2110951851</c:v>
                </c:pt>
                <c:pt idx="2">
                  <c:v>443484508</c:v>
                </c:pt>
                <c:pt idx="3">
                  <c:v>4494789932</c:v>
                </c:pt>
                <c:pt idx="4">
                  <c:v>1083427250</c:v>
                </c:pt>
                <c:pt idx="5">
                  <c:v>1888121099</c:v>
                </c:pt>
                <c:pt idx="6">
                  <c:v>623852260</c:v>
                </c:pt>
                <c:pt idx="7">
                  <c:v>2841101200</c:v>
                </c:pt>
              </c:numCache>
            </c:numRef>
          </c:val>
        </c:ser>
        <c:ser>
          <c:idx val="2"/>
          <c:order val="2"/>
          <c:tx>
            <c:strRef>
              <c:f>'P. ACCIÓN A AGOS 17 CONSOLIDADO'!$DQ$119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3593882752761258E-2"/>
                  <c:y val="-1.04739434677560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2461059190031152E-2"/>
                  <c:y val="-1.04739434677560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3593882752761258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1328235627301049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1328235627300965E-2"/>
                  <c:y val="-2.094788693551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359388275276125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6992353440951572E-2"/>
                  <c:y val="-8.37915477420487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6992353440951572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AGOS 17 CONSOLIDADO'!$DN$120:$DN$127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 ACCIÓN A AGOS 17 CONSOLIDADO'!$DQ$120:$DQ$127</c:f>
              <c:numCache>
                <c:formatCode>0%</c:formatCode>
                <c:ptCount val="8"/>
                <c:pt idx="0">
                  <c:v>0.38166371303173602</c:v>
                </c:pt>
                <c:pt idx="1">
                  <c:v>0.56483359145100309</c:v>
                </c:pt>
                <c:pt idx="2">
                  <c:v>0.56349079062454732</c:v>
                </c:pt>
                <c:pt idx="3">
                  <c:v>0.63066378863197914</c:v>
                </c:pt>
                <c:pt idx="4">
                  <c:v>0.68563438834503354</c:v>
                </c:pt>
                <c:pt idx="5">
                  <c:v>0.74558850044757929</c:v>
                </c:pt>
                <c:pt idx="6">
                  <c:v>0.75743387819546992</c:v>
                </c:pt>
                <c:pt idx="7">
                  <c:v>0.89375412076636074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48259840"/>
        <c:axId val="48261376"/>
        <c:axId val="0"/>
      </c:bar3DChart>
      <c:catAx>
        <c:axId val="48259840"/>
        <c:scaling>
          <c:orientation val="minMax"/>
        </c:scaling>
        <c:delete val="0"/>
        <c:axPos val="b"/>
        <c:majorTickMark val="none"/>
        <c:minorTickMark val="none"/>
        <c:tickLblPos val="nextTo"/>
        <c:crossAx val="48261376"/>
        <c:crosses val="autoZero"/>
        <c:auto val="1"/>
        <c:lblAlgn val="ctr"/>
        <c:lblOffset val="100"/>
        <c:noMultiLvlLbl val="0"/>
      </c:catAx>
      <c:valAx>
        <c:axId val="48261376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crossAx val="482598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4393642808242852"/>
          <c:y val="0.87626300386247447"/>
          <c:w val="0.51421912108055312"/>
          <c:h val="8.392399776731814E-2"/>
        </c:manualLayout>
      </c:layout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</xdr:colOff>
      <xdr:row>0</xdr:row>
      <xdr:rowOff>6</xdr:rowOff>
    </xdr:from>
    <xdr:to>
      <xdr:col>4</xdr:col>
      <xdr:colOff>333381</xdr:colOff>
      <xdr:row>115</xdr:row>
      <xdr:rowOff>238131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131</xdr:row>
      <xdr:rowOff>0</xdr:rowOff>
    </xdr:from>
    <xdr:to>
      <xdr:col>118</xdr:col>
      <xdr:colOff>561975</xdr:colOff>
      <xdr:row>164</xdr:row>
      <xdr:rowOff>28575</xdr:rowOff>
    </xdr:to>
    <xdr:graphicFrame macro="">
      <xdr:nvGraphicFramePr>
        <xdr:cNvPr id="5" name="4 Gráfico" title="EJECUCIÓN PLAN DE ACCIÓN A 31 DE JULIO DE 20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165</xdr:row>
      <xdr:rowOff>0</xdr:rowOff>
    </xdr:from>
    <xdr:to>
      <xdr:col>118</xdr:col>
      <xdr:colOff>533400</xdr:colOff>
      <xdr:row>196</xdr:row>
      <xdr:rowOff>157164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0.4993</cdr:x>
      <cdr:y>0.01482</cdr:y>
    </cdr:from>
    <cdr:to>
      <cdr:x>0.51866</cdr:x>
      <cdr:y>0.08734</cdr:y>
    </cdr:to>
    <cdr:sp macro="" textlink="">
      <cdr:nvSpPr>
        <cdr:cNvPr id="2" name="1 Rectángulo"/>
        <cdr:cNvSpPr/>
      </cdr:nvSpPr>
      <cdr:spPr>
        <a:xfrm xmlns:a="http://schemas.openxmlformats.org/drawingml/2006/main">
          <a:off x="4765378" y="55059"/>
          <a:ext cx="184731" cy="269369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none" lIns="91440" tIns="45720" rIns="91440" bIns="45720">
          <a:spAutoFit/>
        </a:bodyPr>
        <a:lstStyle xmlns:a="http://schemas.openxmlformats.org/drawingml/2006/main"/>
        <a:p xmlns:a="http://schemas.openxmlformats.org/drawingml/2006/main">
          <a:pPr algn="ctr"/>
          <a:endParaRPr lang="es-ES" sz="12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  <a:latin typeface="Arial" pitchFamily="34" charset="0"/>
            <a:cs typeface="Arial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idy%20Rocio%20Murillo/Downloads/EJECUCI&#211;N%20PRESUPUESTAL%20P.%20ACCI&#211;N/ENERO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MARZO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JUNIO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MAYO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AGOSTO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JULIO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FEBRERO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ABRIL%2020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ON%20PLAN%20DE%20ACCION%20A%2031%20DE%20ENERO%20DE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7"/>
      <sheetName val="Hoja1"/>
    </sheetNames>
    <sheetDataSet>
      <sheetData sheetId="0" refreshError="1">
        <row r="23">
          <cell r="L23">
            <v>91492631</v>
          </cell>
        </row>
        <row r="163">
          <cell r="Q163">
            <v>30000000</v>
          </cell>
        </row>
        <row r="184">
          <cell r="K184">
            <v>60000000</v>
          </cell>
        </row>
        <row r="213">
          <cell r="J213">
            <v>20000000</v>
          </cell>
          <cell r="K213">
            <v>270000000</v>
          </cell>
        </row>
        <row r="220">
          <cell r="J220">
            <v>880851</v>
          </cell>
        </row>
        <row r="244">
          <cell r="K244">
            <v>84000000</v>
          </cell>
        </row>
        <row r="252">
          <cell r="L252">
            <v>50000000</v>
          </cell>
        </row>
        <row r="361">
          <cell r="K361">
            <v>200000000</v>
          </cell>
        </row>
        <row r="385">
          <cell r="L385">
            <v>80000000</v>
          </cell>
        </row>
        <row r="518">
          <cell r="K518">
            <v>16000000</v>
          </cell>
        </row>
        <row r="526">
          <cell r="K526">
            <v>32000000</v>
          </cell>
        </row>
        <row r="549">
          <cell r="K549">
            <v>140000000</v>
          </cell>
        </row>
        <row r="565">
          <cell r="L565">
            <v>50000000</v>
          </cell>
        </row>
        <row r="579">
          <cell r="L579">
            <v>80000000</v>
          </cell>
        </row>
        <row r="602">
          <cell r="K602">
            <v>25000000</v>
          </cell>
        </row>
        <row r="619">
          <cell r="K619">
            <v>38000000</v>
          </cell>
          <cell r="T619">
            <v>24500000</v>
          </cell>
        </row>
        <row r="823">
          <cell r="K823">
            <v>19993101</v>
          </cell>
        </row>
        <row r="891">
          <cell r="S891">
            <v>33084973</v>
          </cell>
        </row>
        <row r="908">
          <cell r="H908">
            <v>32833600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120">
          <cell r="K120">
            <v>178290131</v>
          </cell>
        </row>
        <row r="180">
          <cell r="L180">
            <v>23240492</v>
          </cell>
        </row>
        <row r="297">
          <cell r="H297">
            <v>22000000</v>
          </cell>
        </row>
        <row r="347">
          <cell r="H347">
            <v>20000000</v>
          </cell>
        </row>
        <row r="817">
          <cell r="W817">
            <v>23000000</v>
          </cell>
        </row>
        <row r="830">
          <cell r="W830">
            <v>21000000</v>
          </cell>
        </row>
        <row r="839">
          <cell r="W839">
            <v>17594219</v>
          </cell>
        </row>
        <row r="856">
          <cell r="W856">
            <v>150000000</v>
          </cell>
        </row>
        <row r="879">
          <cell r="W879">
            <v>50000000</v>
          </cell>
        </row>
        <row r="887">
          <cell r="L887">
            <v>25092920</v>
          </cell>
        </row>
        <row r="909">
          <cell r="H909">
            <v>1076000</v>
          </cell>
        </row>
        <row r="911">
          <cell r="L911">
            <v>1076000</v>
          </cell>
        </row>
        <row r="952">
          <cell r="W952">
            <v>7440391</v>
          </cell>
        </row>
        <row r="964">
          <cell r="K964">
            <v>12000000</v>
          </cell>
        </row>
        <row r="1029">
          <cell r="H1029">
            <v>50000000</v>
          </cell>
        </row>
        <row r="1124">
          <cell r="X1124">
            <v>20000000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7"/>
    </sheetNames>
    <sheetDataSet>
      <sheetData sheetId="0">
        <row r="23">
          <cell r="O23">
            <v>12004716</v>
          </cell>
          <cell r="P23">
            <v>6840985</v>
          </cell>
          <cell r="Q23">
            <v>30665828</v>
          </cell>
          <cell r="V23">
            <v>100000000</v>
          </cell>
        </row>
        <row r="75">
          <cell r="H75">
            <v>7736670</v>
          </cell>
        </row>
        <row r="111">
          <cell r="H111">
            <v>11416500</v>
          </cell>
        </row>
        <row r="162">
          <cell r="K162">
            <v>110997152</v>
          </cell>
        </row>
        <row r="413">
          <cell r="G413">
            <v>2000000</v>
          </cell>
          <cell r="H413">
            <v>2000000</v>
          </cell>
        </row>
        <row r="451">
          <cell r="H451">
            <v>60000000</v>
          </cell>
        </row>
        <row r="468">
          <cell r="AC468">
            <v>1028160</v>
          </cell>
        </row>
        <row r="562">
          <cell r="Y562">
            <v>37683184</v>
          </cell>
        </row>
        <row r="566">
          <cell r="H566">
            <v>852667</v>
          </cell>
        </row>
        <row r="655">
          <cell r="H655">
            <v>129819880</v>
          </cell>
        </row>
        <row r="667">
          <cell r="L667">
            <v>350000000</v>
          </cell>
        </row>
        <row r="784">
          <cell r="H784">
            <v>44958045</v>
          </cell>
        </row>
        <row r="786">
          <cell r="K786">
            <v>44958045</v>
          </cell>
        </row>
        <row r="966">
          <cell r="H966">
            <v>61503458</v>
          </cell>
        </row>
        <row r="1224">
          <cell r="AC1224">
            <v>14400000</v>
          </cell>
        </row>
        <row r="1319">
          <cell r="AC1319">
            <v>4837588</v>
          </cell>
        </row>
        <row r="1337">
          <cell r="H1337">
            <v>3659488</v>
          </cell>
        </row>
        <row r="1340">
          <cell r="H1340">
            <v>1178100</v>
          </cell>
        </row>
        <row r="1533">
          <cell r="AC1533">
            <v>16000000</v>
          </cell>
        </row>
        <row r="1608">
          <cell r="W1608">
            <v>9000000</v>
          </cell>
        </row>
        <row r="1709">
          <cell r="K1709">
            <v>99997584</v>
          </cell>
        </row>
        <row r="1898">
          <cell r="X1898">
            <v>158593999</v>
          </cell>
        </row>
        <row r="2038">
          <cell r="AC2038">
            <v>492927475</v>
          </cell>
        </row>
        <row r="2109">
          <cell r="K2109">
            <v>10000000</v>
          </cell>
        </row>
        <row r="2150">
          <cell r="H2150">
            <v>200000</v>
          </cell>
        </row>
        <row r="2152">
          <cell r="K2152">
            <v>200000</v>
          </cell>
        </row>
        <row r="2159">
          <cell r="X2159">
            <v>12000000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7"/>
    </sheetNames>
    <sheetDataSet>
      <sheetData sheetId="0">
        <row r="77">
          <cell r="N77">
            <v>11416500</v>
          </cell>
        </row>
        <row r="85">
          <cell r="V85">
            <v>49455530</v>
          </cell>
        </row>
        <row r="566">
          <cell r="L566">
            <v>129819880</v>
          </cell>
        </row>
        <row r="575">
          <cell r="H575">
            <v>88429163</v>
          </cell>
        </row>
        <row r="661">
          <cell r="H661">
            <v>5000000</v>
          </cell>
        </row>
        <row r="663">
          <cell r="K663">
            <v>5000000</v>
          </cell>
        </row>
        <row r="721">
          <cell r="H721">
            <v>3226667</v>
          </cell>
        </row>
        <row r="726">
          <cell r="H726">
            <v>979931</v>
          </cell>
        </row>
        <row r="1138">
          <cell r="H1138">
            <v>16000000</v>
          </cell>
        </row>
        <row r="1270">
          <cell r="L1270">
            <v>50000000</v>
          </cell>
        </row>
        <row r="1506">
          <cell r="H1506">
            <v>19040000</v>
          </cell>
        </row>
        <row r="1509">
          <cell r="H1509">
            <v>633734</v>
          </cell>
        </row>
        <row r="1523">
          <cell r="H1523">
            <v>326266</v>
          </cell>
        </row>
        <row r="1546">
          <cell r="U1546">
            <v>780745920</v>
          </cell>
        </row>
        <row r="1665">
          <cell r="H1665">
            <v>8000000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 2017"/>
    </sheetNames>
    <sheetDataSet>
      <sheetData sheetId="0">
        <row r="19">
          <cell r="H19">
            <v>141978128</v>
          </cell>
        </row>
        <row r="25">
          <cell r="J25">
            <v>181434097</v>
          </cell>
          <cell r="L25">
            <v>662779458</v>
          </cell>
          <cell r="W25">
            <v>40000000</v>
          </cell>
          <cell r="X25">
            <v>189069282</v>
          </cell>
          <cell r="AC25">
            <v>286683351</v>
          </cell>
        </row>
        <row r="26">
          <cell r="H26">
            <v>64657460</v>
          </cell>
        </row>
        <row r="28">
          <cell r="H28">
            <v>87506710</v>
          </cell>
        </row>
        <row r="30">
          <cell r="H30">
            <v>12493290</v>
          </cell>
        </row>
        <row r="32">
          <cell r="H32">
            <v>17331670</v>
          </cell>
        </row>
        <row r="34">
          <cell r="H34">
            <v>9502680</v>
          </cell>
        </row>
        <row r="36">
          <cell r="H36">
            <v>2000000</v>
          </cell>
        </row>
        <row r="38">
          <cell r="H38">
            <v>1428000</v>
          </cell>
        </row>
        <row r="40">
          <cell r="H40">
            <v>1575023</v>
          </cell>
        </row>
        <row r="43">
          <cell r="H43">
            <v>29998237</v>
          </cell>
        </row>
        <row r="45">
          <cell r="H45">
            <v>4069800</v>
          </cell>
        </row>
        <row r="47">
          <cell r="H47">
            <v>227543349</v>
          </cell>
        </row>
        <row r="49">
          <cell r="H49">
            <v>360001</v>
          </cell>
        </row>
        <row r="51">
          <cell r="H51">
            <v>5575576</v>
          </cell>
        </row>
        <row r="56">
          <cell r="H56">
            <v>4615196</v>
          </cell>
        </row>
        <row r="64">
          <cell r="H64">
            <v>65931963</v>
          </cell>
        </row>
        <row r="66">
          <cell r="H66">
            <v>13896909</v>
          </cell>
        </row>
        <row r="68">
          <cell r="G68">
            <v>552737452</v>
          </cell>
        </row>
        <row r="69">
          <cell r="H69">
            <v>1785000</v>
          </cell>
        </row>
        <row r="71">
          <cell r="H71">
            <v>35297488</v>
          </cell>
        </row>
        <row r="73">
          <cell r="H73">
            <v>39874885</v>
          </cell>
        </row>
        <row r="75">
          <cell r="H75">
            <v>24000000</v>
          </cell>
        </row>
        <row r="78">
          <cell r="H78">
            <v>1400000</v>
          </cell>
        </row>
        <row r="80">
          <cell r="H80">
            <v>3000000</v>
          </cell>
        </row>
        <row r="82">
          <cell r="H82">
            <v>1440000</v>
          </cell>
        </row>
        <row r="86">
          <cell r="H86">
            <v>15176979</v>
          </cell>
        </row>
        <row r="101">
          <cell r="L101">
            <v>1032612821</v>
          </cell>
          <cell r="W101">
            <v>20224400</v>
          </cell>
          <cell r="AC101">
            <v>54000000</v>
          </cell>
        </row>
        <row r="102">
          <cell r="H102">
            <v>562248216</v>
          </cell>
        </row>
        <row r="104">
          <cell r="H104">
            <v>57286494</v>
          </cell>
        </row>
        <row r="108">
          <cell r="H108">
            <v>5251832</v>
          </cell>
        </row>
        <row r="114">
          <cell r="H114">
            <v>10153894</v>
          </cell>
        </row>
        <row r="116">
          <cell r="H116">
            <v>73071136</v>
          </cell>
        </row>
        <row r="130">
          <cell r="H130">
            <v>532769559</v>
          </cell>
        </row>
        <row r="132">
          <cell r="X132">
            <v>228875610</v>
          </cell>
          <cell r="AC132">
            <v>146547600</v>
          </cell>
        </row>
        <row r="162">
          <cell r="H162">
            <v>43768200</v>
          </cell>
        </row>
        <row r="165">
          <cell r="H165">
            <v>85601910</v>
          </cell>
        </row>
        <row r="168">
          <cell r="X168">
            <v>99505500</v>
          </cell>
        </row>
        <row r="184">
          <cell r="H184">
            <v>65742069</v>
          </cell>
        </row>
        <row r="186">
          <cell r="AC186">
            <v>59963147</v>
          </cell>
        </row>
        <row r="207">
          <cell r="H207">
            <v>60865107</v>
          </cell>
        </row>
        <row r="233">
          <cell r="H233">
            <v>8264334</v>
          </cell>
        </row>
        <row r="235">
          <cell r="AC235">
            <v>8265084</v>
          </cell>
        </row>
        <row r="249">
          <cell r="H249">
            <v>354232934</v>
          </cell>
        </row>
        <row r="251">
          <cell r="L251">
            <v>354232935</v>
          </cell>
        </row>
        <row r="320">
          <cell r="H320">
            <v>109796954</v>
          </cell>
        </row>
        <row r="344">
          <cell r="H344">
            <v>172747087</v>
          </cell>
        </row>
        <row r="346">
          <cell r="L346">
            <v>143552694</v>
          </cell>
          <cell r="AC346">
            <v>47800000</v>
          </cell>
        </row>
        <row r="532">
          <cell r="H532">
            <v>147665467</v>
          </cell>
        </row>
        <row r="534">
          <cell r="AC534">
            <v>1835903</v>
          </cell>
        </row>
        <row r="620">
          <cell r="H620">
            <v>1200000</v>
          </cell>
        </row>
        <row r="621">
          <cell r="H621">
            <v>635903</v>
          </cell>
        </row>
        <row r="628">
          <cell r="H628">
            <v>57914038</v>
          </cell>
        </row>
        <row r="644">
          <cell r="H644">
            <v>62935845</v>
          </cell>
        </row>
        <row r="660">
          <cell r="H660">
            <v>11016243</v>
          </cell>
        </row>
        <row r="667">
          <cell r="H667">
            <v>31054506</v>
          </cell>
        </row>
        <row r="692">
          <cell r="H692">
            <v>59991813</v>
          </cell>
        </row>
        <row r="715">
          <cell r="H715">
            <v>9930332</v>
          </cell>
        </row>
        <row r="717">
          <cell r="H717">
            <v>37389075</v>
          </cell>
        </row>
        <row r="729">
          <cell r="Y729">
            <v>29452544</v>
          </cell>
        </row>
        <row r="739">
          <cell r="J739">
            <v>30000000</v>
          </cell>
          <cell r="K739">
            <v>270000000</v>
          </cell>
          <cell r="V739">
            <v>115000000</v>
          </cell>
          <cell r="X739">
            <v>80000000</v>
          </cell>
        </row>
        <row r="803">
          <cell r="H803">
            <v>65461900</v>
          </cell>
        </row>
        <row r="806">
          <cell r="H806">
            <v>19084841</v>
          </cell>
        </row>
        <row r="811">
          <cell r="H811">
            <v>3000000</v>
          </cell>
        </row>
        <row r="813">
          <cell r="H813">
            <v>11693526</v>
          </cell>
        </row>
        <row r="821">
          <cell r="H821">
            <v>25510000</v>
          </cell>
        </row>
        <row r="827">
          <cell r="H827">
            <v>356457971</v>
          </cell>
        </row>
        <row r="829">
          <cell r="AC829">
            <v>7500000</v>
          </cell>
        </row>
        <row r="830">
          <cell r="H830">
            <v>215727685</v>
          </cell>
        </row>
        <row r="865">
          <cell r="H865">
            <v>54272314</v>
          </cell>
        </row>
        <row r="874">
          <cell r="H874">
            <v>60958012</v>
          </cell>
        </row>
        <row r="893">
          <cell r="H893">
            <v>83669383</v>
          </cell>
        </row>
        <row r="895">
          <cell r="AC895">
            <v>48559073</v>
          </cell>
        </row>
        <row r="896">
          <cell r="H896">
            <v>36802333</v>
          </cell>
        </row>
        <row r="921">
          <cell r="H921">
            <v>800000</v>
          </cell>
        </row>
        <row r="951">
          <cell r="H951">
            <v>21551716</v>
          </cell>
        </row>
        <row r="957">
          <cell r="H957">
            <v>82894811</v>
          </cell>
        </row>
        <row r="989">
          <cell r="H989">
            <v>37223653</v>
          </cell>
        </row>
        <row r="1018">
          <cell r="H1018">
            <v>1184451839</v>
          </cell>
        </row>
        <row r="1020">
          <cell r="AC1020">
            <v>13206323</v>
          </cell>
        </row>
        <row r="1021">
          <cell r="H1021">
            <v>100000000</v>
          </cell>
        </row>
        <row r="1035">
          <cell r="H1035">
            <v>98452483</v>
          </cell>
        </row>
        <row r="1058">
          <cell r="H1058">
            <v>295000000</v>
          </cell>
        </row>
        <row r="1062">
          <cell r="H1062">
            <v>295000000</v>
          </cell>
        </row>
        <row r="1069">
          <cell r="H1069">
            <v>295000000</v>
          </cell>
        </row>
        <row r="1072">
          <cell r="H1072">
            <v>55447762</v>
          </cell>
        </row>
        <row r="1079">
          <cell r="H1079">
            <v>32345271</v>
          </cell>
        </row>
        <row r="1106">
          <cell r="H1106">
            <v>202390505</v>
          </cell>
        </row>
        <row r="1108">
          <cell r="X1108">
            <v>139051371</v>
          </cell>
        </row>
        <row r="1234">
          <cell r="K1234">
            <v>28207090</v>
          </cell>
        </row>
        <row r="1235">
          <cell r="H1235">
            <v>20000000</v>
          </cell>
        </row>
        <row r="1237">
          <cell r="H1237">
            <v>3300000</v>
          </cell>
        </row>
        <row r="1246">
          <cell r="H1246">
            <v>836000</v>
          </cell>
        </row>
        <row r="1250">
          <cell r="H1250">
            <v>1500000</v>
          </cell>
        </row>
        <row r="1251">
          <cell r="H1251">
            <v>1500000</v>
          </cell>
        </row>
        <row r="1253">
          <cell r="H1253">
            <v>1071090</v>
          </cell>
        </row>
        <row r="1257">
          <cell r="L1257">
            <v>24910000</v>
          </cell>
          <cell r="AC1257">
            <v>7506598</v>
          </cell>
        </row>
        <row r="1258">
          <cell r="H1258">
            <v>2000000</v>
          </cell>
        </row>
        <row r="1262">
          <cell r="H1262">
            <v>3000000</v>
          </cell>
        </row>
        <row r="1265">
          <cell r="H1265">
            <v>3000000</v>
          </cell>
        </row>
        <row r="1267">
          <cell r="H1267">
            <v>1500000</v>
          </cell>
        </row>
        <row r="1269">
          <cell r="H1269">
            <v>7700000</v>
          </cell>
        </row>
        <row r="1271">
          <cell r="H1271">
            <v>1500000</v>
          </cell>
        </row>
        <row r="1273">
          <cell r="H1273">
            <v>4000000</v>
          </cell>
        </row>
        <row r="1275">
          <cell r="H1275">
            <v>1999999</v>
          </cell>
        </row>
        <row r="1278">
          <cell r="H1278">
            <v>210000</v>
          </cell>
        </row>
        <row r="1280">
          <cell r="H1280">
            <v>909116</v>
          </cell>
        </row>
        <row r="1282">
          <cell r="AC1282">
            <v>909116</v>
          </cell>
        </row>
        <row r="1291">
          <cell r="H1291">
            <v>66429794</v>
          </cell>
        </row>
        <row r="1308">
          <cell r="H1308">
            <v>60883240</v>
          </cell>
        </row>
        <row r="1321">
          <cell r="H1321">
            <v>44335215</v>
          </cell>
        </row>
        <row r="1356">
          <cell r="H1356">
            <v>13719355</v>
          </cell>
        </row>
        <row r="1364">
          <cell r="H1364">
            <v>31145323</v>
          </cell>
        </row>
        <row r="1377">
          <cell r="H1377">
            <v>34516471</v>
          </cell>
        </row>
        <row r="1379">
          <cell r="L1379">
            <v>34516471</v>
          </cell>
        </row>
        <row r="1413">
          <cell r="H1413">
            <v>37947592</v>
          </cell>
        </row>
        <row r="1415">
          <cell r="L1415">
            <v>37947592</v>
          </cell>
          <cell r="AC1415">
            <v>800000</v>
          </cell>
        </row>
        <row r="1502">
          <cell r="H1502">
            <v>45316832</v>
          </cell>
        </row>
        <row r="1504">
          <cell r="L1504">
            <v>66350692</v>
          </cell>
        </row>
        <row r="1532">
          <cell r="H1532">
            <v>23346482</v>
          </cell>
        </row>
        <row r="1534">
          <cell r="AC1534">
            <v>23346482</v>
          </cell>
        </row>
        <row r="1554">
          <cell r="H1554">
            <v>1903657930</v>
          </cell>
        </row>
        <row r="2058">
          <cell r="H2058">
            <v>54580573</v>
          </cell>
        </row>
        <row r="2060">
          <cell r="X2060">
            <v>5613038</v>
          </cell>
        </row>
        <row r="2091">
          <cell r="H2091">
            <v>41108562</v>
          </cell>
        </row>
        <row r="2102">
          <cell r="H2102">
            <v>14400000</v>
          </cell>
        </row>
        <row r="2163">
          <cell r="H2163">
            <v>104172209</v>
          </cell>
        </row>
        <row r="2166">
          <cell r="H2166">
            <v>25000000</v>
          </cell>
        </row>
        <row r="2192">
          <cell r="H2192">
            <v>11904719</v>
          </cell>
        </row>
        <row r="2232">
          <cell r="H2232">
            <v>11799491</v>
          </cell>
        </row>
        <row r="2258">
          <cell r="AC2258">
            <v>5854378</v>
          </cell>
        </row>
        <row r="2259">
          <cell r="H2259">
            <v>27815454</v>
          </cell>
        </row>
        <row r="2264">
          <cell r="H2264">
            <v>854378</v>
          </cell>
        </row>
        <row r="2266">
          <cell r="H2266">
            <v>20534000</v>
          </cell>
        </row>
        <row r="2272">
          <cell r="H2272">
            <v>1000000</v>
          </cell>
        </row>
        <row r="2278">
          <cell r="K2278">
            <v>12000000</v>
          </cell>
          <cell r="AC2278">
            <v>2000000</v>
          </cell>
        </row>
        <row r="2279">
          <cell r="H2279">
            <v>17594219</v>
          </cell>
        </row>
        <row r="2281">
          <cell r="H2281">
            <v>4805781</v>
          </cell>
        </row>
        <row r="2286">
          <cell r="H2286">
            <v>13740401</v>
          </cell>
        </row>
        <row r="2288">
          <cell r="L2288">
            <v>8740401</v>
          </cell>
        </row>
        <row r="2310">
          <cell r="H2310">
            <v>5000000</v>
          </cell>
        </row>
        <row r="2319">
          <cell r="AC2319">
            <v>57186713</v>
          </cell>
        </row>
        <row r="2320">
          <cell r="H2320">
            <v>17600000</v>
          </cell>
        </row>
        <row r="2323">
          <cell r="H2323">
            <v>96774343</v>
          </cell>
        </row>
        <row r="2339">
          <cell r="H2339">
            <v>800000</v>
          </cell>
        </row>
        <row r="2341">
          <cell r="H2341">
            <v>2000000</v>
          </cell>
        </row>
        <row r="2344">
          <cell r="H2344">
            <v>539000</v>
          </cell>
        </row>
        <row r="2345">
          <cell r="H2345">
            <v>854000</v>
          </cell>
        </row>
        <row r="2346">
          <cell r="H2346">
            <v>559944</v>
          </cell>
        </row>
        <row r="2347">
          <cell r="H2347">
            <v>114846044</v>
          </cell>
        </row>
        <row r="2380">
          <cell r="H2380">
            <v>747000</v>
          </cell>
        </row>
        <row r="2381">
          <cell r="H2381">
            <v>500000</v>
          </cell>
        </row>
        <row r="2383">
          <cell r="H2383">
            <v>700000</v>
          </cell>
        </row>
        <row r="2384">
          <cell r="H2384">
            <v>2290680</v>
          </cell>
        </row>
        <row r="2386">
          <cell r="H2386">
            <v>4450000</v>
          </cell>
        </row>
        <row r="2388">
          <cell r="H2388">
            <v>2600000</v>
          </cell>
        </row>
        <row r="2390">
          <cell r="H2390">
            <v>700000</v>
          </cell>
        </row>
        <row r="2392">
          <cell r="H2392">
            <v>1000000</v>
          </cell>
        </row>
        <row r="2394">
          <cell r="H2394">
            <v>901847</v>
          </cell>
        </row>
        <row r="2395">
          <cell r="H2395">
            <v>762395</v>
          </cell>
        </row>
        <row r="2396">
          <cell r="H2396">
            <v>3418200</v>
          </cell>
        </row>
        <row r="2398">
          <cell r="H2398">
            <v>8000000</v>
          </cell>
        </row>
        <row r="2400">
          <cell r="H2400">
            <v>581847</v>
          </cell>
        </row>
        <row r="2401">
          <cell r="H2401">
            <v>5000000</v>
          </cell>
        </row>
        <row r="2403">
          <cell r="H2403">
            <v>181800</v>
          </cell>
        </row>
        <row r="2411">
          <cell r="H2411">
            <v>45843057</v>
          </cell>
        </row>
        <row r="2452">
          <cell r="H2452">
            <v>14639552</v>
          </cell>
        </row>
        <row r="2461">
          <cell r="H2461">
            <v>18841847</v>
          </cell>
        </row>
        <row r="2468">
          <cell r="H2468">
            <v>68273412</v>
          </cell>
        </row>
        <row r="2500">
          <cell r="H2500">
            <v>162616533</v>
          </cell>
        </row>
        <row r="2502">
          <cell r="K2502">
            <v>204834720</v>
          </cell>
        </row>
        <row r="2536">
          <cell r="H2536">
            <v>12044568</v>
          </cell>
        </row>
        <row r="2543">
          <cell r="AC2543">
            <v>8000000</v>
          </cell>
        </row>
        <row r="2549">
          <cell r="H2549">
            <v>4577365</v>
          </cell>
        </row>
        <row r="2577">
          <cell r="H2577">
            <v>10783786</v>
          </cell>
        </row>
        <row r="2633">
          <cell r="H2633">
            <v>117485662</v>
          </cell>
        </row>
        <row r="2651">
          <cell r="H2651">
            <v>130146511</v>
          </cell>
        </row>
        <row r="2673">
          <cell r="H2673">
            <v>8500000</v>
          </cell>
        </row>
        <row r="2703">
          <cell r="H2703">
            <v>146410441</v>
          </cell>
        </row>
        <row r="2705">
          <cell r="K2705">
            <v>99997584</v>
          </cell>
          <cell r="AC2705">
            <v>46532857</v>
          </cell>
        </row>
        <row r="2783">
          <cell r="H2783">
            <v>42054040</v>
          </cell>
        </row>
        <row r="2785">
          <cell r="X2785">
            <v>22054040</v>
          </cell>
        </row>
        <row r="2829">
          <cell r="H2829">
            <v>12152872</v>
          </cell>
        </row>
        <row r="2840">
          <cell r="H2840">
            <v>776599252</v>
          </cell>
        </row>
        <row r="2911">
          <cell r="AC2911">
            <v>38210130</v>
          </cell>
        </row>
        <row r="2912">
          <cell r="H2912">
            <v>8639000</v>
          </cell>
        </row>
        <row r="2914">
          <cell r="H2914">
            <v>827847</v>
          </cell>
        </row>
        <row r="2915">
          <cell r="H2915">
            <v>1248042</v>
          </cell>
        </row>
        <row r="2916">
          <cell r="H2916">
            <v>1056495</v>
          </cell>
        </row>
        <row r="2917">
          <cell r="H2917">
            <v>9979999</v>
          </cell>
        </row>
        <row r="2927">
          <cell r="H2927">
            <v>5440480</v>
          </cell>
        </row>
        <row r="2938">
          <cell r="H2938">
            <v>7999788</v>
          </cell>
        </row>
        <row r="2943">
          <cell r="H2943">
            <v>880847</v>
          </cell>
        </row>
        <row r="2944">
          <cell r="H2944">
            <v>4214000</v>
          </cell>
        </row>
        <row r="2957">
          <cell r="H2957">
            <v>7328000</v>
          </cell>
        </row>
        <row r="2963">
          <cell r="H2963">
            <v>5500000</v>
          </cell>
        </row>
        <row r="2968">
          <cell r="H2968">
            <v>499000</v>
          </cell>
        </row>
        <row r="2969">
          <cell r="H2969">
            <v>4970000</v>
          </cell>
        </row>
        <row r="2985">
          <cell r="H2985">
            <v>4347000</v>
          </cell>
        </row>
        <row r="3004">
          <cell r="H3004">
            <v>4570000</v>
          </cell>
        </row>
        <row r="3006">
          <cell r="H3006">
            <v>6713550</v>
          </cell>
        </row>
        <row r="3017">
          <cell r="H3017">
            <v>7213440</v>
          </cell>
        </row>
        <row r="3041">
          <cell r="H3041">
            <v>2387992</v>
          </cell>
        </row>
        <row r="3046">
          <cell r="H3046">
            <v>3942400</v>
          </cell>
        </row>
        <row r="3049">
          <cell r="H3049">
            <v>2680000</v>
          </cell>
        </row>
        <row r="3058">
          <cell r="H3058">
            <v>799000</v>
          </cell>
        </row>
        <row r="3059">
          <cell r="H3059">
            <v>1000000</v>
          </cell>
        </row>
        <row r="3061">
          <cell r="H3061">
            <v>1155843</v>
          </cell>
        </row>
        <row r="3062">
          <cell r="H3062">
            <v>480000</v>
          </cell>
        </row>
        <row r="3063">
          <cell r="H3063">
            <v>3000000</v>
          </cell>
        </row>
        <row r="3065">
          <cell r="H3065">
            <v>559000</v>
          </cell>
        </row>
        <row r="3066">
          <cell r="H3066">
            <v>2550000</v>
          </cell>
        </row>
        <row r="3071">
          <cell r="H3071">
            <v>3732698</v>
          </cell>
        </row>
        <row r="3073">
          <cell r="H3073">
            <v>2998800</v>
          </cell>
        </row>
        <row r="3075">
          <cell r="H3075">
            <v>869000</v>
          </cell>
        </row>
        <row r="3076">
          <cell r="H3076">
            <v>3200000</v>
          </cell>
        </row>
        <row r="3081">
          <cell r="AC3081">
            <v>4499405</v>
          </cell>
        </row>
        <row r="3085">
          <cell r="H3085">
            <v>2324000</v>
          </cell>
        </row>
        <row r="3088">
          <cell r="H3088">
            <v>5980283</v>
          </cell>
        </row>
        <row r="3090">
          <cell r="K3090">
            <v>10000000</v>
          </cell>
        </row>
        <row r="3096">
          <cell r="H3096">
            <v>457893649</v>
          </cell>
        </row>
        <row r="3131">
          <cell r="H3131">
            <v>9063000</v>
          </cell>
        </row>
        <row r="3132">
          <cell r="H3132">
            <v>8881922</v>
          </cell>
        </row>
        <row r="3140">
          <cell r="H3140">
            <v>1290240</v>
          </cell>
        </row>
        <row r="3173">
          <cell r="H3173">
            <v>13140930</v>
          </cell>
        </row>
        <row r="3175">
          <cell r="K3175">
            <v>24270930</v>
          </cell>
        </row>
        <row r="3196">
          <cell r="K3196">
            <v>10000000</v>
          </cell>
        </row>
        <row r="3209">
          <cell r="H3209">
            <v>39343101</v>
          </cell>
        </row>
        <row r="3212">
          <cell r="H3212">
            <v>19993101</v>
          </cell>
        </row>
        <row r="3249">
          <cell r="K3249">
            <v>199651372</v>
          </cell>
          <cell r="AC3249">
            <v>1122408</v>
          </cell>
        </row>
        <row r="3250">
          <cell r="H3250">
            <v>65525450</v>
          </cell>
        </row>
        <row r="3256">
          <cell r="H3256">
            <v>17311709</v>
          </cell>
        </row>
        <row r="3258">
          <cell r="H3258">
            <v>929556</v>
          </cell>
        </row>
        <row r="3260">
          <cell r="H3260">
            <v>10314765</v>
          </cell>
        </row>
        <row r="3262">
          <cell r="H3262">
            <v>10012878</v>
          </cell>
        </row>
        <row r="3264">
          <cell r="H3264">
            <v>5863912</v>
          </cell>
        </row>
        <row r="3266">
          <cell r="H3266">
            <v>10896367</v>
          </cell>
        </row>
        <row r="3268">
          <cell r="H3268">
            <v>5999997</v>
          </cell>
        </row>
        <row r="3270">
          <cell r="H3270">
            <v>12924708</v>
          </cell>
        </row>
        <row r="3273">
          <cell r="H3273">
            <v>13966062</v>
          </cell>
        </row>
        <row r="3280">
          <cell r="H3280">
            <v>1834000</v>
          </cell>
        </row>
        <row r="3281">
          <cell r="H3281">
            <v>1981406</v>
          </cell>
        </row>
        <row r="3285">
          <cell r="H3285">
            <v>447858</v>
          </cell>
        </row>
        <row r="3286">
          <cell r="H3286">
            <v>895716</v>
          </cell>
        </row>
        <row r="3289">
          <cell r="H3289">
            <v>1190000</v>
          </cell>
        </row>
        <row r="3291">
          <cell r="H3291">
            <v>36812050</v>
          </cell>
        </row>
        <row r="3299">
          <cell r="H3299">
            <v>800000</v>
          </cell>
        </row>
        <row r="3300">
          <cell r="H3300">
            <v>41290760</v>
          </cell>
        </row>
        <row r="3306">
          <cell r="H3306">
            <v>1122408</v>
          </cell>
        </row>
        <row r="3309">
          <cell r="H3309">
            <v>12490162</v>
          </cell>
        </row>
        <row r="3311">
          <cell r="AC3311">
            <v>46355915</v>
          </cell>
        </row>
        <row r="3337">
          <cell r="W3337">
            <v>123182603</v>
          </cell>
        </row>
        <row r="3338">
          <cell r="H3338">
            <v>175165315</v>
          </cell>
        </row>
        <row r="3355">
          <cell r="H3355">
            <v>32833600</v>
          </cell>
        </row>
        <row r="3359">
          <cell r="H3359">
            <v>415853345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7"/>
    </sheetNames>
    <sheetDataSet>
      <sheetData sheetId="0">
        <row r="18">
          <cell r="W18">
            <v>250000000</v>
          </cell>
        </row>
        <row r="56">
          <cell r="H56">
            <v>12004716</v>
          </cell>
        </row>
        <row r="57">
          <cell r="H57">
            <v>6840985</v>
          </cell>
        </row>
        <row r="59">
          <cell r="H59">
            <v>30665828</v>
          </cell>
        </row>
        <row r="83">
          <cell r="M83">
            <v>80883013</v>
          </cell>
          <cell r="T83">
            <v>135153822</v>
          </cell>
        </row>
        <row r="107">
          <cell r="L107">
            <v>300000000</v>
          </cell>
          <cell r="W107">
            <v>100000000</v>
          </cell>
        </row>
        <row r="157">
          <cell r="AC157">
            <v>27637000</v>
          </cell>
        </row>
        <row r="160">
          <cell r="H160">
            <v>5566820</v>
          </cell>
        </row>
        <row r="163">
          <cell r="H163">
            <v>3521000</v>
          </cell>
        </row>
        <row r="165">
          <cell r="H165">
            <v>367710</v>
          </cell>
        </row>
        <row r="167">
          <cell r="H167">
            <v>40000000</v>
          </cell>
        </row>
        <row r="210">
          <cell r="H210">
            <v>350227407</v>
          </cell>
        </row>
        <row r="212">
          <cell r="X212">
            <v>247648167</v>
          </cell>
        </row>
        <row r="217">
          <cell r="H217">
            <v>110832974</v>
          </cell>
        </row>
        <row r="413">
          <cell r="H413">
            <v>13275000</v>
          </cell>
        </row>
        <row r="434">
          <cell r="X434">
            <v>200000000</v>
          </cell>
        </row>
        <row r="515">
          <cell r="J515">
            <v>74030286</v>
          </cell>
        </row>
        <row r="527">
          <cell r="J527">
            <v>63674133</v>
          </cell>
        </row>
        <row r="537">
          <cell r="J537">
            <v>42292426</v>
          </cell>
        </row>
        <row r="541">
          <cell r="H541">
            <v>30000000</v>
          </cell>
        </row>
        <row r="555">
          <cell r="H555">
            <v>30781315</v>
          </cell>
        </row>
        <row r="557">
          <cell r="J557">
            <v>30781315</v>
          </cell>
        </row>
        <row r="565">
          <cell r="W565">
            <v>50000000</v>
          </cell>
          <cell r="Y565">
            <v>69922145</v>
          </cell>
        </row>
        <row r="596">
          <cell r="Y596">
            <v>29452544</v>
          </cell>
        </row>
        <row r="605">
          <cell r="W605">
            <v>17000000</v>
          </cell>
        </row>
        <row r="610">
          <cell r="H610">
            <v>268649090</v>
          </cell>
        </row>
        <row r="667">
          <cell r="H667">
            <v>1028160</v>
          </cell>
        </row>
        <row r="679">
          <cell r="V679">
            <v>60958012</v>
          </cell>
        </row>
        <row r="772">
          <cell r="L772">
            <v>18090667</v>
          </cell>
          <cell r="W772">
            <v>28000000</v>
          </cell>
          <cell r="Y772">
            <v>1372723790</v>
          </cell>
        </row>
        <row r="773">
          <cell r="H773">
            <v>1139690190</v>
          </cell>
        </row>
        <row r="776">
          <cell r="H776">
            <v>21200000</v>
          </cell>
        </row>
        <row r="778">
          <cell r="H778">
            <v>211833600</v>
          </cell>
        </row>
        <row r="780">
          <cell r="H780">
            <v>18090667</v>
          </cell>
        </row>
        <row r="786">
          <cell r="K786">
            <v>29620873</v>
          </cell>
          <cell r="W786">
            <v>23000000</v>
          </cell>
        </row>
        <row r="787">
          <cell r="H787">
            <v>29595981</v>
          </cell>
        </row>
        <row r="858">
          <cell r="L858">
            <v>1400000000</v>
          </cell>
        </row>
        <row r="916">
          <cell r="X916">
            <v>15000000</v>
          </cell>
        </row>
        <row r="1004">
          <cell r="H1004">
            <v>10035333</v>
          </cell>
        </row>
        <row r="1035">
          <cell r="H1035">
            <v>33686000</v>
          </cell>
        </row>
        <row r="1037">
          <cell r="K1037">
            <v>27136000</v>
          </cell>
          <cell r="AC1037">
            <v>6550000</v>
          </cell>
        </row>
        <row r="1084">
          <cell r="Z1084">
            <v>119946741</v>
          </cell>
        </row>
        <row r="1278">
          <cell r="U1278">
            <v>2170553330</v>
          </cell>
        </row>
        <row r="1733">
          <cell r="H1733">
            <v>81629312</v>
          </cell>
        </row>
        <row r="1735">
          <cell r="K1735">
            <v>81629342</v>
          </cell>
          <cell r="X1735">
            <v>170000000</v>
          </cell>
        </row>
        <row r="1774">
          <cell r="K1774">
            <v>48967535</v>
          </cell>
        </row>
        <row r="1803">
          <cell r="L1803">
            <v>48608560</v>
          </cell>
        </row>
        <row r="1858">
          <cell r="H1858">
            <v>12449514</v>
          </cell>
        </row>
        <row r="1860">
          <cell r="K1860">
            <v>12449515</v>
          </cell>
        </row>
        <row r="1870">
          <cell r="K1870">
            <v>37550485</v>
          </cell>
          <cell r="L1870">
            <v>67267490</v>
          </cell>
        </row>
        <row r="1901">
          <cell r="H1901">
            <v>21266667</v>
          </cell>
        </row>
        <row r="1903">
          <cell r="AC1903">
            <v>22666667</v>
          </cell>
        </row>
        <row r="1970">
          <cell r="AC1970">
            <v>5000000</v>
          </cell>
        </row>
        <row r="2246">
          <cell r="H2246">
            <v>37945823</v>
          </cell>
        </row>
        <row r="2296">
          <cell r="K2296">
            <v>117766267</v>
          </cell>
        </row>
        <row r="2313">
          <cell r="K2313">
            <v>130146511</v>
          </cell>
        </row>
        <row r="2334">
          <cell r="K2334">
            <v>8500000</v>
          </cell>
        </row>
        <row r="2818">
          <cell r="W2818">
            <v>40000000</v>
          </cell>
        </row>
        <row r="2854">
          <cell r="W2854">
            <v>60000000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125">
          <cell r="K125">
            <v>5834000</v>
          </cell>
        </row>
        <row r="140">
          <cell r="K140">
            <v>30000000</v>
          </cell>
        </row>
        <row r="449">
          <cell r="K449">
            <v>13000000</v>
          </cell>
        </row>
        <row r="806">
          <cell r="H806">
            <v>2000000</v>
          </cell>
        </row>
        <row r="809">
          <cell r="H809">
            <v>2550170</v>
          </cell>
        </row>
        <row r="811">
          <cell r="L811">
            <v>2550170</v>
          </cell>
        </row>
        <row r="861">
          <cell r="X861">
            <v>50000000</v>
          </cell>
        </row>
        <row r="960">
          <cell r="X960">
            <v>8000000</v>
          </cell>
        </row>
        <row r="1030">
          <cell r="H1030">
            <v>19993101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7"/>
    </sheetNames>
    <sheetDataSet>
      <sheetData sheetId="0">
        <row r="62">
          <cell r="H62">
            <v>269868200</v>
          </cell>
        </row>
        <row r="892">
          <cell r="H892">
            <v>8093873</v>
          </cell>
        </row>
        <row r="894">
          <cell r="L894">
            <v>8093873</v>
          </cell>
        </row>
        <row r="1134">
          <cell r="H1134">
            <v>23359120</v>
          </cell>
        </row>
        <row r="1288">
          <cell r="G1288">
            <v>700000</v>
          </cell>
          <cell r="H1288">
            <v>700000</v>
          </cell>
        </row>
        <row r="1297">
          <cell r="K1297">
            <v>20000000</v>
          </cell>
        </row>
        <row r="1405">
          <cell r="X1405">
            <v>19235162</v>
          </cell>
        </row>
        <row r="1457">
          <cell r="H1457">
            <v>9930546</v>
          </cell>
        </row>
        <row r="1459">
          <cell r="K1459">
            <v>9930546</v>
          </cell>
        </row>
        <row r="1487">
          <cell r="K1487">
            <v>5000000</v>
          </cell>
        </row>
        <row r="1559">
          <cell r="AA1559">
            <v>667371659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A ENERO 2017"/>
      <sheetName val="PLAN A ENERO 2017 (2)"/>
    </sheetNames>
    <sheetDataSet>
      <sheetData sheetId="0"/>
      <sheetData sheetId="1">
        <row r="144">
          <cell r="DF144" t="str">
            <v xml:space="preserve">       TOTAL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2"/>
  <sheetViews>
    <sheetView showGridLines="0" zoomScaleNormal="100" zoomScalePageLayoutView="50" workbookViewId="0">
      <pane xSplit="3" ySplit="3" topLeftCell="CL115" activePane="bottomRight" state="frozen"/>
      <selection activeCell="Z102" sqref="Z102"/>
      <selection pane="topRight" activeCell="Z102" sqref="Z102"/>
      <selection pane="bottomLeft" activeCell="Z102" sqref="Z102"/>
      <selection pane="bottomRight" activeCell="DK94" sqref="DK94"/>
    </sheetView>
  </sheetViews>
  <sheetFormatPr baseColWidth="10" defaultRowHeight="15" x14ac:dyDescent="0.25"/>
  <cols>
    <col min="1" max="1" width="4.85546875" customWidth="1"/>
    <col min="2" max="2" width="23" customWidth="1"/>
    <col min="3" max="3" width="8.7109375" bestFit="1" customWidth="1"/>
    <col min="4" max="4" width="54.85546875" customWidth="1"/>
    <col min="5" max="5" width="6.28515625" customWidth="1"/>
    <col min="6" max="6" width="14.28515625" customWidth="1"/>
    <col min="7" max="7" width="14.7109375" customWidth="1"/>
    <col min="8" max="8" width="13.42578125" hidden="1" customWidth="1"/>
    <col min="9" max="9" width="14.42578125" hidden="1" customWidth="1"/>
    <col min="10" max="10" width="14.7109375" hidden="1" customWidth="1"/>
    <col min="11" max="11" width="14.42578125" hidden="1" customWidth="1"/>
    <col min="12" max="12" width="12.28515625" hidden="1" customWidth="1"/>
    <col min="13" max="13" width="13.140625" hidden="1" customWidth="1"/>
    <col min="14" max="14" width="11.28515625" hidden="1" customWidth="1"/>
    <col min="15" max="15" width="9.140625" hidden="1" customWidth="1"/>
    <col min="16" max="16" width="10.140625" hidden="1" customWidth="1"/>
    <col min="17" max="17" width="10.7109375" hidden="1" customWidth="1"/>
    <col min="18" max="18" width="11.140625" hidden="1" customWidth="1"/>
    <col min="19" max="19" width="12.7109375" hidden="1" customWidth="1"/>
    <col min="20" max="20" width="11.140625" hidden="1" customWidth="1"/>
    <col min="21" max="21" width="12" hidden="1" customWidth="1"/>
    <col min="22" max="22" width="12.7109375" hidden="1" customWidth="1"/>
    <col min="23" max="23" width="13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2.7109375" hidden="1" customWidth="1"/>
    <col min="28" max="28" width="8.28515625" hidden="1" customWidth="1"/>
    <col min="29" max="29" width="14.7109375" bestFit="1" customWidth="1"/>
    <col min="30" max="30" width="13.5703125" customWidth="1"/>
    <col min="31" max="31" width="14" customWidth="1"/>
    <col min="32" max="32" width="17.28515625" customWidth="1"/>
    <col min="33" max="33" width="14.5703125" customWidth="1"/>
    <col min="34" max="34" width="16.140625" customWidth="1"/>
    <col min="35" max="37" width="15" customWidth="1"/>
    <col min="38" max="38" width="11.7109375" customWidth="1"/>
    <col min="39" max="39" width="13.28515625" customWidth="1"/>
    <col min="40" max="40" width="12.5703125" customWidth="1"/>
    <col min="41" max="42" width="14.140625" customWidth="1"/>
    <col min="43" max="43" width="13.5703125" customWidth="1"/>
    <col min="44" max="44" width="13.42578125" customWidth="1"/>
    <col min="45" max="45" width="17.7109375" customWidth="1"/>
    <col min="46" max="46" width="13.42578125" customWidth="1"/>
    <col min="47" max="47" width="14.85546875" customWidth="1"/>
    <col min="48" max="48" width="15.5703125" customWidth="1"/>
    <col min="49" max="49" width="13.85546875" customWidth="1"/>
    <col min="50" max="50" width="9" customWidth="1"/>
    <col min="51" max="51" width="14.85546875" customWidth="1"/>
    <col min="52" max="52" width="14.5703125" customWidth="1"/>
    <col min="53" max="70" width="16.5703125" customWidth="1"/>
    <col min="71" max="71" width="14" customWidth="1"/>
    <col min="72" max="72" width="10.28515625" customWidth="1"/>
    <col min="73" max="73" width="14.7109375" bestFit="1" customWidth="1"/>
    <col min="74" max="74" width="12.28515625" customWidth="1"/>
    <col min="75" max="75" width="13.28515625" customWidth="1"/>
    <col min="76" max="77" width="14" customWidth="1"/>
    <col min="78" max="78" width="15.42578125" customWidth="1"/>
    <col min="79" max="81" width="13.5703125" customWidth="1"/>
    <col min="82" max="82" width="11.7109375" customWidth="1"/>
    <col min="83" max="83" width="13.42578125" customWidth="1"/>
    <col min="84" max="84" width="15.7109375" customWidth="1"/>
    <col min="85" max="86" width="16.28515625" customWidth="1"/>
    <col min="87" max="87" width="13.7109375" customWidth="1"/>
    <col min="88" max="88" width="13" customWidth="1"/>
    <col min="89" max="90" width="14.28515625" customWidth="1"/>
    <col min="91" max="91" width="13.7109375" customWidth="1"/>
    <col min="92" max="92" width="12.28515625" customWidth="1"/>
    <col min="93" max="93" width="13.42578125" customWidth="1"/>
    <col min="94" max="94" width="9.7109375" customWidth="1"/>
    <col min="95" max="95" width="15" customWidth="1"/>
    <col min="96" max="96" width="13.7109375" customWidth="1"/>
    <col min="97" max="97" width="14.42578125" customWidth="1"/>
    <col min="98" max="99" width="15.5703125" customWidth="1"/>
    <col min="100" max="100" width="14.42578125" customWidth="1"/>
    <col min="101" max="101" width="12.7109375" customWidth="1"/>
    <col min="102" max="103" width="13.5703125" customWidth="1"/>
    <col min="104" max="105" width="13.85546875" customWidth="1"/>
    <col min="106" max="106" width="13.7109375" customWidth="1"/>
    <col min="107" max="109" width="13.85546875" customWidth="1"/>
    <col min="110" max="110" width="13.28515625" customWidth="1"/>
    <col min="111" max="112" width="14.42578125" customWidth="1"/>
    <col min="113" max="113" width="14.85546875" customWidth="1"/>
    <col min="114" max="114" width="14.28515625" customWidth="1"/>
    <col min="115" max="115" width="13.5703125" customWidth="1"/>
    <col min="116" max="116" width="5.140625" customWidth="1"/>
    <col min="117" max="119" width="14.7109375" bestFit="1" customWidth="1"/>
    <col min="120" max="120" width="2.140625" bestFit="1" customWidth="1"/>
  </cols>
  <sheetData>
    <row r="1" spans="1:121" ht="15" customHeight="1" x14ac:dyDescent="0.3">
      <c r="C1" s="157" t="s">
        <v>0</v>
      </c>
      <c r="D1" s="157"/>
      <c r="E1" s="157"/>
      <c r="F1" s="157"/>
      <c r="G1" s="158" t="s">
        <v>1</v>
      </c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"/>
      <c r="AC1" s="159" t="s">
        <v>2</v>
      </c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1"/>
      <c r="AX1" s="2"/>
      <c r="AY1" s="3"/>
      <c r="AZ1" s="155" t="s">
        <v>3</v>
      </c>
      <c r="BA1" s="156"/>
      <c r="BB1" s="156"/>
      <c r="BC1" s="156"/>
      <c r="BD1" s="156"/>
      <c r="BE1" s="156"/>
      <c r="BF1" s="156"/>
      <c r="BG1" s="156"/>
      <c r="BH1" s="156"/>
      <c r="BI1" s="156"/>
      <c r="BJ1" s="156"/>
      <c r="BK1" s="156"/>
      <c r="BL1" s="156"/>
      <c r="BM1" s="156"/>
      <c r="BN1" s="156"/>
      <c r="BO1" s="156"/>
      <c r="BP1" s="156"/>
      <c r="BQ1" s="156"/>
      <c r="BR1" s="156"/>
      <c r="BS1" s="156"/>
      <c r="BT1" s="162"/>
      <c r="BU1" s="155" t="s">
        <v>4</v>
      </c>
      <c r="BV1" s="156"/>
      <c r="BW1" s="156"/>
      <c r="BX1" s="156"/>
      <c r="BY1" s="156"/>
      <c r="BZ1" s="156"/>
      <c r="CA1" s="156"/>
      <c r="CB1" s="156"/>
      <c r="CC1" s="156"/>
      <c r="CD1" s="156"/>
      <c r="CE1" s="156"/>
      <c r="CF1" s="156"/>
      <c r="CG1" s="156"/>
      <c r="CH1" s="156"/>
      <c r="CI1" s="156"/>
      <c r="CJ1" s="156"/>
      <c r="CK1" s="156"/>
      <c r="CL1" s="156"/>
      <c r="CM1" s="156"/>
      <c r="CN1" s="156"/>
      <c r="CO1" s="162"/>
      <c r="CP1" s="2"/>
      <c r="CQ1" s="155" t="s">
        <v>3</v>
      </c>
      <c r="CR1" s="156"/>
      <c r="CS1" s="156"/>
      <c r="CT1" s="156"/>
      <c r="CU1" s="156"/>
      <c r="CV1" s="156"/>
      <c r="CW1" s="156"/>
      <c r="CX1" s="156"/>
      <c r="CY1" s="156"/>
      <c r="CZ1" s="156"/>
      <c r="DA1" s="156"/>
      <c r="DB1" s="156"/>
      <c r="DC1" s="156"/>
      <c r="DD1" s="156"/>
      <c r="DE1" s="156"/>
      <c r="DF1" s="156"/>
      <c r="DG1" s="156"/>
      <c r="DH1" s="156"/>
      <c r="DI1" s="156"/>
      <c r="DJ1" s="156"/>
      <c r="DK1" s="156"/>
    </row>
    <row r="2" spans="1:121" ht="15.6" customHeight="1" x14ac:dyDescent="0.25">
      <c r="A2" s="163" t="s">
        <v>5</v>
      </c>
      <c r="B2" s="163" t="s">
        <v>6</v>
      </c>
      <c r="C2" s="164" t="s">
        <v>7</v>
      </c>
      <c r="D2" s="163" t="s">
        <v>8</v>
      </c>
      <c r="E2" s="166" t="s">
        <v>9</v>
      </c>
      <c r="F2" s="179" t="s">
        <v>10</v>
      </c>
      <c r="G2" s="170" t="s">
        <v>11</v>
      </c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2"/>
      <c r="AB2" s="4"/>
      <c r="AC2" s="173" t="s">
        <v>12</v>
      </c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74"/>
      <c r="AU2" s="174"/>
      <c r="AV2" s="174"/>
      <c r="AW2" s="175"/>
      <c r="AX2" s="5"/>
      <c r="AY2" s="6"/>
      <c r="AZ2" s="176" t="s">
        <v>13</v>
      </c>
      <c r="BA2" s="177"/>
      <c r="BB2" s="177"/>
      <c r="BC2" s="177"/>
      <c r="BD2" s="177"/>
      <c r="BE2" s="177"/>
      <c r="BF2" s="177"/>
      <c r="BG2" s="177"/>
      <c r="BH2" s="177"/>
      <c r="BI2" s="177"/>
      <c r="BJ2" s="176" t="s">
        <v>13</v>
      </c>
      <c r="BK2" s="177"/>
      <c r="BL2" s="177"/>
      <c r="BM2" s="177"/>
      <c r="BN2" s="177"/>
      <c r="BO2" s="177"/>
      <c r="BP2" s="177"/>
      <c r="BQ2" s="177"/>
      <c r="BR2" s="177"/>
      <c r="BS2" s="178"/>
      <c r="BT2" s="7"/>
      <c r="BU2" s="8"/>
      <c r="BV2" s="173" t="s">
        <v>14</v>
      </c>
      <c r="BW2" s="174"/>
      <c r="BX2" s="174"/>
      <c r="BY2" s="174"/>
      <c r="BZ2" s="174"/>
      <c r="CA2" s="174"/>
      <c r="CB2" s="174"/>
      <c r="CC2" s="174"/>
      <c r="CD2" s="174"/>
      <c r="CE2" s="174"/>
      <c r="CF2" s="174"/>
      <c r="CG2" s="9"/>
      <c r="CH2" s="9"/>
      <c r="CI2" s="174"/>
      <c r="CJ2" s="174"/>
      <c r="CK2" s="174"/>
      <c r="CL2" s="174"/>
      <c r="CM2" s="174"/>
      <c r="CN2" s="174"/>
      <c r="CO2" s="175"/>
      <c r="CP2" s="14"/>
      <c r="CQ2" s="176" t="s">
        <v>13</v>
      </c>
      <c r="CR2" s="177"/>
      <c r="CS2" s="177"/>
      <c r="CT2" s="177"/>
      <c r="CU2" s="177"/>
      <c r="CV2" s="177"/>
      <c r="CW2" s="177"/>
      <c r="CX2" s="177"/>
      <c r="CY2" s="177"/>
      <c r="CZ2" s="177"/>
      <c r="DA2" s="177"/>
      <c r="DB2" s="177" t="s">
        <v>13</v>
      </c>
      <c r="DC2" s="177"/>
      <c r="DD2" s="177"/>
      <c r="DE2" s="177"/>
      <c r="DF2" s="177"/>
      <c r="DG2" s="177"/>
      <c r="DH2" s="177"/>
      <c r="DI2" s="177"/>
      <c r="DJ2" s="177"/>
      <c r="DK2" s="178"/>
    </row>
    <row r="3" spans="1:121" s="16" customFormat="1" ht="43.5" customHeight="1" x14ac:dyDescent="0.2">
      <c r="A3" s="163"/>
      <c r="B3" s="163"/>
      <c r="C3" s="165"/>
      <c r="D3" s="163"/>
      <c r="E3" s="167"/>
      <c r="F3" s="180"/>
      <c r="G3" s="10" t="s">
        <v>15</v>
      </c>
      <c r="H3" s="10" t="s">
        <v>16</v>
      </c>
      <c r="I3" s="10" t="s">
        <v>17</v>
      </c>
      <c r="J3" s="10" t="s">
        <v>18</v>
      </c>
      <c r="K3" s="10" t="s">
        <v>19</v>
      </c>
      <c r="L3" s="10" t="s">
        <v>20</v>
      </c>
      <c r="M3" s="10" t="s">
        <v>21</v>
      </c>
      <c r="N3" s="10" t="s">
        <v>22</v>
      </c>
      <c r="O3" s="10" t="s">
        <v>23</v>
      </c>
      <c r="P3" s="10" t="s">
        <v>24</v>
      </c>
      <c r="Q3" s="10" t="s">
        <v>25</v>
      </c>
      <c r="R3" s="10" t="s">
        <v>26</v>
      </c>
      <c r="S3" s="10" t="s">
        <v>27</v>
      </c>
      <c r="T3" s="10" t="s">
        <v>28</v>
      </c>
      <c r="U3" s="10" t="s">
        <v>29</v>
      </c>
      <c r="V3" s="10" t="s">
        <v>30</v>
      </c>
      <c r="W3" s="10" t="s">
        <v>31</v>
      </c>
      <c r="X3" s="10" t="s">
        <v>32</v>
      </c>
      <c r="Y3" s="10" t="s">
        <v>33</v>
      </c>
      <c r="Z3" s="10" t="s">
        <v>34</v>
      </c>
      <c r="AA3" s="10" t="s">
        <v>35</v>
      </c>
      <c r="AB3" s="11" t="s">
        <v>36</v>
      </c>
      <c r="AC3" s="12" t="s">
        <v>15</v>
      </c>
      <c r="AD3" s="12" t="s">
        <v>16</v>
      </c>
      <c r="AE3" s="12" t="s">
        <v>37</v>
      </c>
      <c r="AF3" s="12" t="s">
        <v>38</v>
      </c>
      <c r="AG3" s="12" t="s">
        <v>19</v>
      </c>
      <c r="AH3" s="12" t="s">
        <v>20</v>
      </c>
      <c r="AI3" s="12" t="s">
        <v>39</v>
      </c>
      <c r="AJ3" s="12" t="s">
        <v>22</v>
      </c>
      <c r="AK3" s="12" t="s">
        <v>23</v>
      </c>
      <c r="AL3" s="12" t="s">
        <v>24</v>
      </c>
      <c r="AM3" s="12" t="s">
        <v>25</v>
      </c>
      <c r="AN3" s="12" t="s">
        <v>40</v>
      </c>
      <c r="AO3" s="12" t="s">
        <v>27</v>
      </c>
      <c r="AP3" s="12" t="s">
        <v>28</v>
      </c>
      <c r="AQ3" s="12" t="s">
        <v>29</v>
      </c>
      <c r="AR3" s="12" t="str">
        <f>+V3</f>
        <v xml:space="preserve">EXCEDENTES  USCO </v>
      </c>
      <c r="AS3" s="12" t="s">
        <v>31</v>
      </c>
      <c r="AT3" s="12" t="s">
        <v>32</v>
      </c>
      <c r="AU3" s="12" t="s">
        <v>33</v>
      </c>
      <c r="AV3" s="12" t="s">
        <v>41</v>
      </c>
      <c r="AW3" s="12" t="s">
        <v>35</v>
      </c>
      <c r="AX3" s="13" t="s">
        <v>36</v>
      </c>
      <c r="AY3" s="14" t="s">
        <v>15</v>
      </c>
      <c r="AZ3" s="14" t="s">
        <v>16</v>
      </c>
      <c r="BA3" s="14" t="s">
        <v>42</v>
      </c>
      <c r="BB3" s="14" t="s">
        <v>43</v>
      </c>
      <c r="BC3" s="14" t="s">
        <v>19</v>
      </c>
      <c r="BD3" s="14" t="s">
        <v>44</v>
      </c>
      <c r="BE3" s="14" t="s">
        <v>39</v>
      </c>
      <c r="BF3" s="14" t="s">
        <v>22</v>
      </c>
      <c r="BG3" s="14" t="s">
        <v>23</v>
      </c>
      <c r="BH3" s="14" t="s">
        <v>24</v>
      </c>
      <c r="BI3" s="14" t="s">
        <v>25</v>
      </c>
      <c r="BJ3" s="14" t="s">
        <v>40</v>
      </c>
      <c r="BK3" s="14" t="s">
        <v>27</v>
      </c>
      <c r="BL3" s="14" t="s">
        <v>28</v>
      </c>
      <c r="BM3" s="14" t="s">
        <v>29</v>
      </c>
      <c r="BN3" s="14" t="str">
        <f>+AR3</f>
        <v xml:space="preserve">EXCEDENTES  USCO </v>
      </c>
      <c r="BO3" s="14" t="s">
        <v>31</v>
      </c>
      <c r="BP3" s="14" t="s">
        <v>32</v>
      </c>
      <c r="BQ3" s="14" t="s">
        <v>33</v>
      </c>
      <c r="BR3" s="14" t="s">
        <v>34</v>
      </c>
      <c r="BS3" s="14" t="s">
        <v>35</v>
      </c>
      <c r="BT3" s="15" t="s">
        <v>36</v>
      </c>
      <c r="BU3" s="12" t="s">
        <v>15</v>
      </c>
      <c r="BV3" s="12" t="s">
        <v>16</v>
      </c>
      <c r="BW3" s="12" t="s">
        <v>17</v>
      </c>
      <c r="BX3" s="12" t="s">
        <v>43</v>
      </c>
      <c r="BY3" s="12" t="s">
        <v>19</v>
      </c>
      <c r="BZ3" s="12" t="s">
        <v>44</v>
      </c>
      <c r="CA3" s="12" t="s">
        <v>39</v>
      </c>
      <c r="CB3" s="12" t="s">
        <v>22</v>
      </c>
      <c r="CC3" s="12" t="s">
        <v>23</v>
      </c>
      <c r="CD3" s="12" t="s">
        <v>24</v>
      </c>
      <c r="CE3" s="12" t="s">
        <v>25</v>
      </c>
      <c r="CF3" s="12" t="s">
        <v>40</v>
      </c>
      <c r="CG3" s="12" t="s">
        <v>27</v>
      </c>
      <c r="CH3" s="12" t="s">
        <v>28</v>
      </c>
      <c r="CI3" s="12" t="s">
        <v>29</v>
      </c>
      <c r="CJ3" s="12" t="str">
        <f>+BN3</f>
        <v xml:space="preserve">EXCEDENTES  USCO </v>
      </c>
      <c r="CK3" s="12" t="s">
        <v>31</v>
      </c>
      <c r="CL3" s="12" t="s">
        <v>32</v>
      </c>
      <c r="CM3" s="12" t="s">
        <v>33</v>
      </c>
      <c r="CN3" s="12" t="s">
        <v>41</v>
      </c>
      <c r="CO3" s="12" t="s">
        <v>35</v>
      </c>
      <c r="CP3" s="14" t="s">
        <v>36</v>
      </c>
      <c r="CQ3" s="14" t="s">
        <v>15</v>
      </c>
      <c r="CR3" s="14" t="s">
        <v>16</v>
      </c>
      <c r="CS3" s="14" t="s">
        <v>17</v>
      </c>
      <c r="CT3" s="14" t="s">
        <v>43</v>
      </c>
      <c r="CU3" s="14" t="s">
        <v>19</v>
      </c>
      <c r="CV3" s="14" t="s">
        <v>45</v>
      </c>
      <c r="CW3" s="14" t="s">
        <v>21</v>
      </c>
      <c r="CX3" s="14" t="s">
        <v>22</v>
      </c>
      <c r="CY3" s="14" t="s">
        <v>23</v>
      </c>
      <c r="CZ3" s="14" t="s">
        <v>24</v>
      </c>
      <c r="DA3" s="14" t="s">
        <v>25</v>
      </c>
      <c r="DB3" s="14" t="s">
        <v>40</v>
      </c>
      <c r="DC3" s="14" t="s">
        <v>27</v>
      </c>
      <c r="DD3" s="14" t="s">
        <v>28</v>
      </c>
      <c r="DE3" s="14" t="s">
        <v>29</v>
      </c>
      <c r="DF3" s="14" t="str">
        <f>+CJ3</f>
        <v xml:space="preserve">EXCEDENTES  USCO </v>
      </c>
      <c r="DG3" s="14" t="s">
        <v>31</v>
      </c>
      <c r="DH3" s="14" t="s">
        <v>32</v>
      </c>
      <c r="DI3" s="14" t="s">
        <v>33</v>
      </c>
      <c r="DJ3" s="14" t="s">
        <v>34</v>
      </c>
      <c r="DK3" s="14" t="s">
        <v>35</v>
      </c>
    </row>
    <row r="4" spans="1:121" ht="48" customHeight="1" x14ac:dyDescent="0.25">
      <c r="A4" s="17" t="s">
        <v>46</v>
      </c>
      <c r="B4" s="181" t="s">
        <v>47</v>
      </c>
      <c r="C4" s="18" t="s">
        <v>48</v>
      </c>
      <c r="D4" s="19" t="s">
        <v>49</v>
      </c>
      <c r="E4" s="20">
        <v>510</v>
      </c>
      <c r="F4" s="21" t="s">
        <v>50</v>
      </c>
      <c r="G4" s="22">
        <f t="shared" ref="G4:G23" si="0">SUM(H4:AA4)</f>
        <v>44000000</v>
      </c>
      <c r="H4" s="22"/>
      <c r="I4" s="22">
        <v>16000000</v>
      </c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>
        <v>23000000</v>
      </c>
      <c r="V4" s="22"/>
      <c r="W4" s="22"/>
      <c r="X4" s="22"/>
      <c r="Y4" s="22"/>
      <c r="Z4" s="22"/>
      <c r="AA4" s="22">
        <f>5000000</f>
        <v>5000000</v>
      </c>
      <c r="AB4" s="23">
        <f t="shared" ref="AB4:AB73" si="1">+AC4/G4</f>
        <v>0.99630881818181816</v>
      </c>
      <c r="AC4" s="22">
        <f t="shared" ref="AC4:AC23" si="2">SUM(AD4:AW4)</f>
        <v>43837588</v>
      </c>
      <c r="AD4" s="24"/>
      <c r="AE4" s="22">
        <f>+'[1]ENERO 2017'!$K$518</f>
        <v>16000000</v>
      </c>
      <c r="AF4" s="24"/>
      <c r="AG4" s="24"/>
      <c r="AH4" s="22"/>
      <c r="AI4" s="25"/>
      <c r="AJ4" s="25"/>
      <c r="AK4" s="25"/>
      <c r="AL4" s="25"/>
      <c r="AM4" s="25"/>
      <c r="AN4" s="25"/>
      <c r="AO4" s="25"/>
      <c r="AP4" s="25"/>
      <c r="AQ4" s="22">
        <f>+'[2]FEBRERO 2017'!$W$817</f>
        <v>23000000</v>
      </c>
      <c r="AR4" s="25"/>
      <c r="AS4" s="25"/>
      <c r="AT4" s="25"/>
      <c r="AU4" s="25"/>
      <c r="AV4" s="25"/>
      <c r="AW4" s="22">
        <f>+'[3]JUNIO 2017'!$AC$1319</f>
        <v>4837588</v>
      </c>
      <c r="AX4" s="23">
        <f t="shared" ref="AX4:AX73" si="3">1-AB4</f>
        <v>3.6911818181818434E-3</v>
      </c>
      <c r="AY4" s="22">
        <f t="shared" ref="AY4:AY15" si="4">SUM(AZ4:BS4)</f>
        <v>162412</v>
      </c>
      <c r="AZ4" s="22">
        <f t="shared" ref="AZ4:BO19" si="5">+H4-AD4</f>
        <v>0</v>
      </c>
      <c r="BA4" s="22">
        <f t="shared" si="5"/>
        <v>0</v>
      </c>
      <c r="BB4" s="22">
        <f t="shared" si="5"/>
        <v>0</v>
      </c>
      <c r="BC4" s="22">
        <f t="shared" si="5"/>
        <v>0</v>
      </c>
      <c r="BD4" s="22">
        <f t="shared" si="5"/>
        <v>0</v>
      </c>
      <c r="BE4" s="22">
        <f t="shared" si="5"/>
        <v>0</v>
      </c>
      <c r="BF4" s="22">
        <f t="shared" si="5"/>
        <v>0</v>
      </c>
      <c r="BG4" s="22">
        <f t="shared" si="5"/>
        <v>0</v>
      </c>
      <c r="BH4" s="22">
        <f t="shared" si="5"/>
        <v>0</v>
      </c>
      <c r="BI4" s="22">
        <f t="shared" si="5"/>
        <v>0</v>
      </c>
      <c r="BJ4" s="22">
        <f t="shared" si="5"/>
        <v>0</v>
      </c>
      <c r="BK4" s="22">
        <f t="shared" si="5"/>
        <v>0</v>
      </c>
      <c r="BL4" s="22">
        <f t="shared" si="5"/>
        <v>0</v>
      </c>
      <c r="BM4" s="22">
        <f t="shared" si="5"/>
        <v>0</v>
      </c>
      <c r="BN4" s="22">
        <f t="shared" si="5"/>
        <v>0</v>
      </c>
      <c r="BO4" s="22">
        <f t="shared" si="5"/>
        <v>0</v>
      </c>
      <c r="BP4" s="22">
        <f t="shared" ref="BP4:BS23" si="6">+X4-AT4</f>
        <v>0</v>
      </c>
      <c r="BQ4" s="22">
        <f t="shared" si="6"/>
        <v>0</v>
      </c>
      <c r="BR4" s="22">
        <f t="shared" si="6"/>
        <v>0</v>
      </c>
      <c r="BS4" s="22">
        <f t="shared" si="6"/>
        <v>162412</v>
      </c>
      <c r="BT4" s="23">
        <f t="shared" ref="BT4:BT73" si="7">+BU4/G4</f>
        <v>0.7417517954545455</v>
      </c>
      <c r="BU4" s="22">
        <f t="shared" ref="BU4:BU23" si="8">SUM(BV4:CO4)</f>
        <v>32637079</v>
      </c>
      <c r="BV4" s="22"/>
      <c r="BW4" s="22">
        <f>+'[4]MAYO 2017'!$H$1138</f>
        <v>16000000</v>
      </c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>
        <f>+'[5]AGOSTO 2017'!$H$2232</f>
        <v>11799491</v>
      </c>
      <c r="CJ4" s="22"/>
      <c r="CK4" s="22"/>
      <c r="CL4" s="22"/>
      <c r="CM4" s="22"/>
      <c r="CN4" s="22"/>
      <c r="CO4" s="22">
        <f>+'[3]JUNIO 2017'!$H$1337+'[3]JUNIO 2017'!$H$1340</f>
        <v>4837588</v>
      </c>
      <c r="CP4" s="23">
        <f t="shared" ref="CP4:CP56" si="9">1-BT4</f>
        <v>0.2582482045454545</v>
      </c>
      <c r="CQ4" s="22">
        <f t="shared" ref="CQ4:CQ23" si="10">SUM(CR4:DK4)</f>
        <v>11362921</v>
      </c>
      <c r="CR4" s="22">
        <f>H4-BV4</f>
        <v>0</v>
      </c>
      <c r="CS4" s="22">
        <f t="shared" ref="CS4:DH21" si="11">I4-BW4</f>
        <v>0</v>
      </c>
      <c r="CT4" s="22">
        <f t="shared" si="11"/>
        <v>0</v>
      </c>
      <c r="CU4" s="22">
        <f t="shared" si="11"/>
        <v>0</v>
      </c>
      <c r="CV4" s="22">
        <f t="shared" si="11"/>
        <v>0</v>
      </c>
      <c r="CW4" s="22">
        <f t="shared" si="11"/>
        <v>0</v>
      </c>
      <c r="CX4" s="22">
        <f t="shared" si="11"/>
        <v>0</v>
      </c>
      <c r="CY4" s="22">
        <f t="shared" si="11"/>
        <v>0</v>
      </c>
      <c r="CZ4" s="22">
        <f t="shared" si="11"/>
        <v>0</v>
      </c>
      <c r="DA4" s="22">
        <f t="shared" si="11"/>
        <v>0</v>
      </c>
      <c r="DB4" s="22">
        <f t="shared" si="11"/>
        <v>0</v>
      </c>
      <c r="DC4" s="22">
        <f t="shared" si="11"/>
        <v>0</v>
      </c>
      <c r="DD4" s="22">
        <f t="shared" si="11"/>
        <v>0</v>
      </c>
      <c r="DE4" s="22">
        <f t="shared" si="11"/>
        <v>11200509</v>
      </c>
      <c r="DF4" s="22">
        <f t="shared" si="11"/>
        <v>0</v>
      </c>
      <c r="DG4" s="22">
        <f t="shared" si="11"/>
        <v>0</v>
      </c>
      <c r="DH4" s="22">
        <f t="shared" si="11"/>
        <v>0</v>
      </c>
      <c r="DI4" s="22">
        <f t="shared" ref="DI4:DK23" si="12">Y4-CM4</f>
        <v>0</v>
      </c>
      <c r="DJ4" s="22">
        <f t="shared" si="12"/>
        <v>0</v>
      </c>
      <c r="DK4" s="22">
        <f t="shared" si="12"/>
        <v>162412</v>
      </c>
      <c r="DM4" s="26">
        <f>+G4</f>
        <v>44000000</v>
      </c>
      <c r="DN4" s="26">
        <f>+AC4+AY4</f>
        <v>44000000</v>
      </c>
      <c r="DO4" s="26">
        <f t="shared" ref="DO4:DO22" si="13">+BU4+CQ4</f>
        <v>44000000</v>
      </c>
    </row>
    <row r="5" spans="1:121" ht="50.25" customHeight="1" x14ac:dyDescent="0.25">
      <c r="A5" s="27"/>
      <c r="B5" s="182"/>
      <c r="C5" s="18" t="s">
        <v>51</v>
      </c>
      <c r="D5" s="19" t="s">
        <v>52</v>
      </c>
      <c r="E5" s="20">
        <v>510</v>
      </c>
      <c r="F5" s="21" t="s">
        <v>53</v>
      </c>
      <c r="G5" s="22">
        <f t="shared" si="0"/>
        <v>58854378</v>
      </c>
      <c r="H5" s="22"/>
      <c r="I5" s="22">
        <v>32000000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>
        <v>21000000</v>
      </c>
      <c r="V5" s="22"/>
      <c r="W5" s="22"/>
      <c r="X5" s="22"/>
      <c r="Y5" s="22"/>
      <c r="Z5" s="22"/>
      <c r="AA5" s="22">
        <f>854378+1000000+4000000</f>
        <v>5854378</v>
      </c>
      <c r="AB5" s="23">
        <f t="shared" si="1"/>
        <v>1</v>
      </c>
      <c r="AC5" s="22">
        <f>SUM(AD5:AW5)</f>
        <v>58854378</v>
      </c>
      <c r="AD5" s="22"/>
      <c r="AE5" s="22">
        <f>+'[1]ENERO 2017'!$K$526</f>
        <v>32000000</v>
      </c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>
        <f>+'[2]FEBRERO 2017'!$W$830</f>
        <v>21000000</v>
      </c>
      <c r="AR5" s="22"/>
      <c r="AS5" s="22"/>
      <c r="AT5" s="22"/>
      <c r="AU5" s="22"/>
      <c r="AV5" s="22"/>
      <c r="AW5" s="22">
        <f>+'[5]AGOSTO 2017'!$AC$2258</f>
        <v>5854378</v>
      </c>
      <c r="AX5" s="23">
        <f t="shared" si="3"/>
        <v>0</v>
      </c>
      <c r="AY5" s="22">
        <f t="shared" si="4"/>
        <v>0</v>
      </c>
      <c r="AZ5" s="22">
        <f t="shared" si="5"/>
        <v>0</v>
      </c>
      <c r="BA5" s="22">
        <f t="shared" si="5"/>
        <v>0</v>
      </c>
      <c r="BB5" s="22">
        <f t="shared" si="5"/>
        <v>0</v>
      </c>
      <c r="BC5" s="22">
        <f t="shared" si="5"/>
        <v>0</v>
      </c>
      <c r="BD5" s="22">
        <f t="shared" si="5"/>
        <v>0</v>
      </c>
      <c r="BE5" s="22">
        <f t="shared" si="5"/>
        <v>0</v>
      </c>
      <c r="BF5" s="22">
        <f t="shared" si="5"/>
        <v>0</v>
      </c>
      <c r="BG5" s="22">
        <f t="shared" si="5"/>
        <v>0</v>
      </c>
      <c r="BH5" s="22">
        <f t="shared" si="5"/>
        <v>0</v>
      </c>
      <c r="BI5" s="22">
        <f t="shared" si="5"/>
        <v>0</v>
      </c>
      <c r="BJ5" s="22">
        <f t="shared" si="5"/>
        <v>0</v>
      </c>
      <c r="BK5" s="22">
        <f t="shared" si="5"/>
        <v>0</v>
      </c>
      <c r="BL5" s="22">
        <f t="shared" si="5"/>
        <v>0</v>
      </c>
      <c r="BM5" s="22">
        <f t="shared" si="5"/>
        <v>0</v>
      </c>
      <c r="BN5" s="22">
        <f t="shared" si="5"/>
        <v>0</v>
      </c>
      <c r="BO5" s="22">
        <f t="shared" si="5"/>
        <v>0</v>
      </c>
      <c r="BP5" s="22">
        <f t="shared" si="6"/>
        <v>0</v>
      </c>
      <c r="BQ5" s="22">
        <f t="shared" si="6"/>
        <v>0</v>
      </c>
      <c r="BR5" s="22">
        <f t="shared" si="6"/>
        <v>0</v>
      </c>
      <c r="BS5" s="22">
        <f t="shared" si="6"/>
        <v>0</v>
      </c>
      <c r="BT5" s="23">
        <f t="shared" si="7"/>
        <v>0.85301779928759081</v>
      </c>
      <c r="BU5" s="22">
        <f t="shared" si="8"/>
        <v>50203832</v>
      </c>
      <c r="BV5" s="22"/>
      <c r="BW5" s="22">
        <f>+'[5]AGOSTO 2017'!$H$2259</f>
        <v>27815454</v>
      </c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>
        <f>+'[5]AGOSTO 2017'!$H$2266</f>
        <v>20534000</v>
      </c>
      <c r="CJ5" s="22"/>
      <c r="CK5" s="22"/>
      <c r="CL5" s="22"/>
      <c r="CM5" s="22"/>
      <c r="CN5" s="22"/>
      <c r="CO5" s="22">
        <f>+'[5]AGOSTO 2017'!$H$2264+'[5]AGOSTO 2017'!$H$2272</f>
        <v>1854378</v>
      </c>
      <c r="CP5" s="23">
        <f t="shared" si="9"/>
        <v>0.14698220071240919</v>
      </c>
      <c r="CQ5" s="22">
        <f t="shared" si="10"/>
        <v>8650546</v>
      </c>
      <c r="CR5" s="22">
        <f t="shared" ref="CR5:DG23" si="14">H5-BV5</f>
        <v>0</v>
      </c>
      <c r="CS5" s="22">
        <f t="shared" si="11"/>
        <v>4184546</v>
      </c>
      <c r="CT5" s="22">
        <f t="shared" si="11"/>
        <v>0</v>
      </c>
      <c r="CU5" s="22">
        <f t="shared" si="11"/>
        <v>0</v>
      </c>
      <c r="CV5" s="22">
        <f t="shared" si="11"/>
        <v>0</v>
      </c>
      <c r="CW5" s="22">
        <f t="shared" si="11"/>
        <v>0</v>
      </c>
      <c r="CX5" s="22">
        <f t="shared" si="11"/>
        <v>0</v>
      </c>
      <c r="CY5" s="22">
        <f t="shared" si="11"/>
        <v>0</v>
      </c>
      <c r="CZ5" s="22">
        <f t="shared" si="11"/>
        <v>0</v>
      </c>
      <c r="DA5" s="22">
        <f t="shared" si="11"/>
        <v>0</v>
      </c>
      <c r="DB5" s="22">
        <f t="shared" si="11"/>
        <v>0</v>
      </c>
      <c r="DC5" s="22">
        <f t="shared" si="11"/>
        <v>0</v>
      </c>
      <c r="DD5" s="22">
        <f t="shared" si="11"/>
        <v>0</v>
      </c>
      <c r="DE5" s="22">
        <f t="shared" si="11"/>
        <v>466000</v>
      </c>
      <c r="DF5" s="22">
        <f t="shared" si="11"/>
        <v>0</v>
      </c>
      <c r="DG5" s="22">
        <f t="shared" si="11"/>
        <v>0</v>
      </c>
      <c r="DH5" s="22">
        <f t="shared" si="11"/>
        <v>0</v>
      </c>
      <c r="DI5" s="22">
        <f t="shared" si="12"/>
        <v>0</v>
      </c>
      <c r="DJ5" s="22">
        <f t="shared" si="12"/>
        <v>0</v>
      </c>
      <c r="DK5" s="22">
        <f t="shared" si="12"/>
        <v>4000000</v>
      </c>
      <c r="DM5" s="26">
        <f t="shared" ref="DM5:DM22" si="15">+G5</f>
        <v>58854378</v>
      </c>
      <c r="DN5" s="26">
        <f t="shared" ref="DN5:DN15" si="16">+AC5+AY5</f>
        <v>58854378</v>
      </c>
      <c r="DO5" s="26">
        <f t="shared" si="13"/>
        <v>58854378</v>
      </c>
    </row>
    <row r="6" spans="1:121" ht="36.75" customHeight="1" x14ac:dyDescent="0.25">
      <c r="A6" s="27"/>
      <c r="B6" s="183"/>
      <c r="C6" s="18" t="s">
        <v>54</v>
      </c>
      <c r="D6" s="19" t="s">
        <v>55</v>
      </c>
      <c r="E6" s="28">
        <v>510</v>
      </c>
      <c r="F6" s="21" t="s">
        <v>56</v>
      </c>
      <c r="G6" s="22">
        <f t="shared" si="0"/>
        <v>31594219</v>
      </c>
      <c r="H6" s="22"/>
      <c r="I6" s="22">
        <v>12000000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>
        <v>17594219</v>
      </c>
      <c r="V6" s="22"/>
      <c r="W6" s="22"/>
      <c r="X6" s="22"/>
      <c r="Y6" s="22"/>
      <c r="Z6" s="22"/>
      <c r="AA6" s="22">
        <f>2000000</f>
        <v>2000000</v>
      </c>
      <c r="AB6" s="23">
        <f t="shared" si="1"/>
        <v>1</v>
      </c>
      <c r="AC6" s="22">
        <f>SUM(AD6:AW6)</f>
        <v>31594219</v>
      </c>
      <c r="AD6" s="22"/>
      <c r="AE6" s="22">
        <f>+'[5]AGOSTO 2017'!$K$2278</f>
        <v>12000000</v>
      </c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>
        <f>+'[2]FEBRERO 2017'!$W$839</f>
        <v>17594219</v>
      </c>
      <c r="AR6" s="22"/>
      <c r="AS6" s="22"/>
      <c r="AT6" s="22"/>
      <c r="AU6" s="22"/>
      <c r="AV6" s="22"/>
      <c r="AW6" s="22">
        <f>+'[5]AGOSTO 2017'!$AC$2278</f>
        <v>2000000</v>
      </c>
      <c r="AX6" s="23">
        <f t="shared" si="3"/>
        <v>0</v>
      </c>
      <c r="AY6" s="22">
        <f t="shared" si="4"/>
        <v>0</v>
      </c>
      <c r="AZ6" s="22">
        <f t="shared" si="5"/>
        <v>0</v>
      </c>
      <c r="BA6" s="22">
        <f t="shared" si="5"/>
        <v>0</v>
      </c>
      <c r="BB6" s="22">
        <f t="shared" si="5"/>
        <v>0</v>
      </c>
      <c r="BC6" s="22">
        <f t="shared" si="5"/>
        <v>0</v>
      </c>
      <c r="BD6" s="22">
        <f t="shared" si="5"/>
        <v>0</v>
      </c>
      <c r="BE6" s="22">
        <f t="shared" si="5"/>
        <v>0</v>
      </c>
      <c r="BF6" s="22">
        <f t="shared" si="5"/>
        <v>0</v>
      </c>
      <c r="BG6" s="22">
        <f t="shared" si="5"/>
        <v>0</v>
      </c>
      <c r="BH6" s="22">
        <f t="shared" si="5"/>
        <v>0</v>
      </c>
      <c r="BI6" s="22">
        <f t="shared" si="5"/>
        <v>0</v>
      </c>
      <c r="BJ6" s="22">
        <f t="shared" si="5"/>
        <v>0</v>
      </c>
      <c r="BK6" s="22">
        <f t="shared" si="5"/>
        <v>0</v>
      </c>
      <c r="BL6" s="22">
        <f t="shared" si="5"/>
        <v>0</v>
      </c>
      <c r="BM6" s="22">
        <f t="shared" si="5"/>
        <v>0</v>
      </c>
      <c r="BN6" s="22">
        <f t="shared" si="5"/>
        <v>0</v>
      </c>
      <c r="BO6" s="22">
        <f t="shared" si="5"/>
        <v>0</v>
      </c>
      <c r="BP6" s="22">
        <f t="shared" si="6"/>
        <v>0</v>
      </c>
      <c r="BQ6" s="22">
        <f t="shared" si="6"/>
        <v>0</v>
      </c>
      <c r="BR6" s="22">
        <f t="shared" si="6"/>
        <v>0</v>
      </c>
      <c r="BS6" s="22">
        <f t="shared" si="6"/>
        <v>0</v>
      </c>
      <c r="BT6" s="23">
        <f t="shared" si="7"/>
        <v>0.70899046436311652</v>
      </c>
      <c r="BU6" s="22">
        <f t="shared" si="8"/>
        <v>22400000</v>
      </c>
      <c r="BV6" s="22"/>
      <c r="BW6" s="22">
        <f>+'[5]AGOSTO 2017'!$H$2281</f>
        <v>4805781</v>
      </c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>
        <f>+'[5]AGOSTO 2017'!$H$2279</f>
        <v>17594219</v>
      </c>
      <c r="CJ6" s="22"/>
      <c r="CK6" s="22"/>
      <c r="CL6" s="22"/>
      <c r="CM6" s="22"/>
      <c r="CN6" s="22"/>
      <c r="CO6" s="22"/>
      <c r="CP6" s="23">
        <f t="shared" si="9"/>
        <v>0.29100953563688348</v>
      </c>
      <c r="CQ6" s="22">
        <f t="shared" si="10"/>
        <v>9194219</v>
      </c>
      <c r="CR6" s="22">
        <f t="shared" si="14"/>
        <v>0</v>
      </c>
      <c r="CS6" s="22">
        <f t="shared" si="11"/>
        <v>7194219</v>
      </c>
      <c r="CT6" s="22">
        <f t="shared" si="11"/>
        <v>0</v>
      </c>
      <c r="CU6" s="22">
        <f t="shared" si="11"/>
        <v>0</v>
      </c>
      <c r="CV6" s="22">
        <f t="shared" si="11"/>
        <v>0</v>
      </c>
      <c r="CW6" s="22">
        <f t="shared" si="11"/>
        <v>0</v>
      </c>
      <c r="CX6" s="22">
        <f t="shared" si="11"/>
        <v>0</v>
      </c>
      <c r="CY6" s="22">
        <f t="shared" si="11"/>
        <v>0</v>
      </c>
      <c r="CZ6" s="22">
        <f t="shared" si="11"/>
        <v>0</v>
      </c>
      <c r="DA6" s="22">
        <f t="shared" si="11"/>
        <v>0</v>
      </c>
      <c r="DB6" s="22">
        <f t="shared" si="11"/>
        <v>0</v>
      </c>
      <c r="DC6" s="22">
        <f t="shared" si="11"/>
        <v>0</v>
      </c>
      <c r="DD6" s="22">
        <f t="shared" si="11"/>
        <v>0</v>
      </c>
      <c r="DE6" s="22">
        <f t="shared" si="11"/>
        <v>0</v>
      </c>
      <c r="DF6" s="22">
        <f t="shared" si="11"/>
        <v>0</v>
      </c>
      <c r="DG6" s="22">
        <f t="shared" si="11"/>
        <v>0</v>
      </c>
      <c r="DH6" s="22">
        <f t="shared" si="11"/>
        <v>0</v>
      </c>
      <c r="DI6" s="22">
        <f t="shared" si="12"/>
        <v>0</v>
      </c>
      <c r="DJ6" s="22">
        <f t="shared" si="12"/>
        <v>0</v>
      </c>
      <c r="DK6" s="22">
        <f t="shared" si="12"/>
        <v>2000000</v>
      </c>
      <c r="DM6" s="26">
        <f t="shared" si="15"/>
        <v>31594219</v>
      </c>
      <c r="DN6" s="26">
        <f t="shared" si="16"/>
        <v>31594219</v>
      </c>
      <c r="DO6" s="26">
        <f t="shared" si="13"/>
        <v>31594219</v>
      </c>
    </row>
    <row r="7" spans="1:121" ht="51.75" customHeight="1" x14ac:dyDescent="0.25">
      <c r="A7" s="27"/>
      <c r="B7" s="29" t="s">
        <v>57</v>
      </c>
      <c r="C7" s="18" t="s">
        <v>58</v>
      </c>
      <c r="D7" s="19" t="s">
        <v>59</v>
      </c>
      <c r="E7" s="20">
        <v>510</v>
      </c>
      <c r="F7" s="21" t="s">
        <v>60</v>
      </c>
      <c r="G7" s="22">
        <f t="shared" si="0"/>
        <v>39000000</v>
      </c>
      <c r="H7" s="22"/>
      <c r="I7" s="22"/>
      <c r="J7" s="22">
        <v>16000000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>
        <f>20000000+3000000</f>
        <v>23000000</v>
      </c>
      <c r="AB7" s="23">
        <f t="shared" si="1"/>
        <v>0.35231797435897438</v>
      </c>
      <c r="AC7" s="22">
        <f>SUM(AD7:AW7)</f>
        <v>13740401</v>
      </c>
      <c r="AD7" s="22"/>
      <c r="AE7" s="22"/>
      <c r="AF7" s="22">
        <f>+'[5]AGOSTO 2017'!$L$2288</f>
        <v>8740401</v>
      </c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>
        <f>+'[6]JULIO 2017'!$AC$1970</f>
        <v>5000000</v>
      </c>
      <c r="AX7" s="23">
        <f t="shared" si="3"/>
        <v>0.64768202564102562</v>
      </c>
      <c r="AY7" s="22">
        <f t="shared" si="4"/>
        <v>25259599</v>
      </c>
      <c r="AZ7" s="22">
        <f t="shared" si="5"/>
        <v>0</v>
      </c>
      <c r="BA7" s="22">
        <f t="shared" si="5"/>
        <v>0</v>
      </c>
      <c r="BB7" s="22">
        <f t="shared" si="5"/>
        <v>7259599</v>
      </c>
      <c r="BC7" s="22">
        <f t="shared" si="5"/>
        <v>0</v>
      </c>
      <c r="BD7" s="22">
        <f t="shared" si="5"/>
        <v>0</v>
      </c>
      <c r="BE7" s="22">
        <f t="shared" si="5"/>
        <v>0</v>
      </c>
      <c r="BF7" s="22">
        <f t="shared" si="5"/>
        <v>0</v>
      </c>
      <c r="BG7" s="22">
        <f t="shared" si="5"/>
        <v>0</v>
      </c>
      <c r="BH7" s="22">
        <f t="shared" si="5"/>
        <v>0</v>
      </c>
      <c r="BI7" s="22">
        <f t="shared" si="5"/>
        <v>0</v>
      </c>
      <c r="BJ7" s="22">
        <f t="shared" si="5"/>
        <v>0</v>
      </c>
      <c r="BK7" s="22">
        <f t="shared" si="5"/>
        <v>0</v>
      </c>
      <c r="BL7" s="22">
        <f t="shared" si="5"/>
        <v>0</v>
      </c>
      <c r="BM7" s="22">
        <f t="shared" si="5"/>
        <v>0</v>
      </c>
      <c r="BN7" s="22">
        <f t="shared" si="5"/>
        <v>0</v>
      </c>
      <c r="BO7" s="22">
        <f t="shared" si="5"/>
        <v>0</v>
      </c>
      <c r="BP7" s="22">
        <f t="shared" si="6"/>
        <v>0</v>
      </c>
      <c r="BQ7" s="22">
        <f t="shared" si="6"/>
        <v>0</v>
      </c>
      <c r="BR7" s="22">
        <f t="shared" si="6"/>
        <v>0</v>
      </c>
      <c r="BS7" s="22">
        <f t="shared" si="6"/>
        <v>18000000</v>
      </c>
      <c r="BT7" s="23">
        <f t="shared" si="7"/>
        <v>0.35231797435897438</v>
      </c>
      <c r="BU7" s="22">
        <f t="shared" si="8"/>
        <v>13740401</v>
      </c>
      <c r="BV7" s="22"/>
      <c r="BW7" s="22"/>
      <c r="BX7" s="22">
        <f>+'[5]AGOSTO 2017'!$H$2286-CO7</f>
        <v>8740401</v>
      </c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>
        <f>+'[5]AGOSTO 2017'!$H$2310</f>
        <v>5000000</v>
      </c>
      <c r="CP7" s="23">
        <f t="shared" si="9"/>
        <v>0.64768202564102562</v>
      </c>
      <c r="CQ7" s="22">
        <f t="shared" si="10"/>
        <v>25259599</v>
      </c>
      <c r="CR7" s="22">
        <f t="shared" si="14"/>
        <v>0</v>
      </c>
      <c r="CS7" s="22">
        <f t="shared" si="11"/>
        <v>0</v>
      </c>
      <c r="CT7" s="22">
        <f t="shared" si="11"/>
        <v>7259599</v>
      </c>
      <c r="CU7" s="22">
        <f t="shared" si="11"/>
        <v>0</v>
      </c>
      <c r="CV7" s="22">
        <f t="shared" si="11"/>
        <v>0</v>
      </c>
      <c r="CW7" s="22">
        <f t="shared" si="11"/>
        <v>0</v>
      </c>
      <c r="CX7" s="22">
        <f t="shared" si="11"/>
        <v>0</v>
      </c>
      <c r="CY7" s="22">
        <f t="shared" si="11"/>
        <v>0</v>
      </c>
      <c r="CZ7" s="22">
        <f t="shared" si="11"/>
        <v>0</v>
      </c>
      <c r="DA7" s="22">
        <f t="shared" si="11"/>
        <v>0</v>
      </c>
      <c r="DB7" s="22">
        <f t="shared" si="11"/>
        <v>0</v>
      </c>
      <c r="DC7" s="22">
        <f t="shared" si="11"/>
        <v>0</v>
      </c>
      <c r="DD7" s="22">
        <f t="shared" si="11"/>
        <v>0</v>
      </c>
      <c r="DE7" s="22">
        <f t="shared" si="11"/>
        <v>0</v>
      </c>
      <c r="DF7" s="22">
        <f t="shared" si="11"/>
        <v>0</v>
      </c>
      <c r="DG7" s="22">
        <f t="shared" si="11"/>
        <v>0</v>
      </c>
      <c r="DH7" s="22">
        <f t="shared" si="11"/>
        <v>0</v>
      </c>
      <c r="DI7" s="22">
        <f t="shared" si="12"/>
        <v>0</v>
      </c>
      <c r="DJ7" s="22">
        <f t="shared" si="12"/>
        <v>0</v>
      </c>
      <c r="DK7" s="22">
        <f t="shared" si="12"/>
        <v>18000000</v>
      </c>
      <c r="DM7" s="26">
        <f t="shared" si="15"/>
        <v>39000000</v>
      </c>
      <c r="DN7" s="26">
        <f t="shared" si="16"/>
        <v>39000000</v>
      </c>
      <c r="DO7" s="26">
        <f t="shared" si="13"/>
        <v>39000000</v>
      </c>
    </row>
    <row r="8" spans="1:121" ht="63.75" customHeight="1" x14ac:dyDescent="0.25">
      <c r="A8" s="27"/>
      <c r="B8" s="181" t="s">
        <v>61</v>
      </c>
      <c r="C8" s="30" t="s">
        <v>62</v>
      </c>
      <c r="D8" s="31" t="s">
        <v>63</v>
      </c>
      <c r="E8" s="20">
        <v>310</v>
      </c>
      <c r="F8" s="21" t="s">
        <v>56</v>
      </c>
      <c r="G8" s="22">
        <f t="shared" si="0"/>
        <v>178290131</v>
      </c>
      <c r="H8" s="22"/>
      <c r="I8" s="22">
        <f>120000000+58290131</f>
        <v>178290131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3">
        <f t="shared" si="1"/>
        <v>1</v>
      </c>
      <c r="AC8" s="22">
        <f>SUM(AD8:AW8)</f>
        <v>178290131</v>
      </c>
      <c r="AD8" s="22"/>
      <c r="AE8" s="22">
        <f>+'[2]FEBRERO 2017'!$K$120</f>
        <v>178290131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3">
        <f t="shared" si="3"/>
        <v>0</v>
      </c>
      <c r="AY8" s="22">
        <f t="shared" si="4"/>
        <v>0</v>
      </c>
      <c r="AZ8" s="22">
        <f t="shared" si="5"/>
        <v>0</v>
      </c>
      <c r="BA8" s="22">
        <f t="shared" si="5"/>
        <v>0</v>
      </c>
      <c r="BB8" s="22">
        <f t="shared" si="5"/>
        <v>0</v>
      </c>
      <c r="BC8" s="22">
        <f t="shared" si="5"/>
        <v>0</v>
      </c>
      <c r="BD8" s="22">
        <f t="shared" si="5"/>
        <v>0</v>
      </c>
      <c r="BE8" s="22">
        <f t="shared" si="5"/>
        <v>0</v>
      </c>
      <c r="BF8" s="22">
        <f t="shared" si="5"/>
        <v>0</v>
      </c>
      <c r="BG8" s="22">
        <f t="shared" si="5"/>
        <v>0</v>
      </c>
      <c r="BH8" s="22">
        <f t="shared" si="5"/>
        <v>0</v>
      </c>
      <c r="BI8" s="22">
        <f t="shared" si="5"/>
        <v>0</v>
      </c>
      <c r="BJ8" s="22">
        <f t="shared" si="5"/>
        <v>0</v>
      </c>
      <c r="BK8" s="22">
        <f t="shared" si="5"/>
        <v>0</v>
      </c>
      <c r="BL8" s="22">
        <f t="shared" si="5"/>
        <v>0</v>
      </c>
      <c r="BM8" s="22">
        <f t="shared" si="5"/>
        <v>0</v>
      </c>
      <c r="BN8" s="22">
        <f t="shared" si="5"/>
        <v>0</v>
      </c>
      <c r="BO8" s="22">
        <f t="shared" si="5"/>
        <v>0</v>
      </c>
      <c r="BP8" s="22">
        <f t="shared" si="6"/>
        <v>0</v>
      </c>
      <c r="BQ8" s="22">
        <f t="shared" si="6"/>
        <v>0</v>
      </c>
      <c r="BR8" s="22">
        <f t="shared" si="6"/>
        <v>0</v>
      </c>
      <c r="BS8" s="22">
        <f t="shared" si="6"/>
        <v>0</v>
      </c>
      <c r="BT8" s="23">
        <f t="shared" si="7"/>
        <v>0.61583304350143753</v>
      </c>
      <c r="BU8" s="22">
        <f>SUM(BV8:CO8)</f>
        <v>109796954</v>
      </c>
      <c r="BV8" s="22"/>
      <c r="BW8" s="22">
        <f>+'[5]AGOSTO 2017'!$H$320</f>
        <v>109796954</v>
      </c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3">
        <f t="shared" si="9"/>
        <v>0.38416695649856247</v>
      </c>
      <c r="CQ8" s="22">
        <f t="shared" si="10"/>
        <v>68493177</v>
      </c>
      <c r="CR8" s="22">
        <f t="shared" si="14"/>
        <v>0</v>
      </c>
      <c r="CS8" s="22">
        <f t="shared" si="11"/>
        <v>68493177</v>
      </c>
      <c r="CT8" s="22">
        <f t="shared" si="11"/>
        <v>0</v>
      </c>
      <c r="CU8" s="22">
        <f t="shared" si="11"/>
        <v>0</v>
      </c>
      <c r="CV8" s="22">
        <f t="shared" si="11"/>
        <v>0</v>
      </c>
      <c r="CW8" s="22">
        <f t="shared" si="11"/>
        <v>0</v>
      </c>
      <c r="CX8" s="22">
        <f t="shared" si="11"/>
        <v>0</v>
      </c>
      <c r="CY8" s="22">
        <f t="shared" si="11"/>
        <v>0</v>
      </c>
      <c r="CZ8" s="22">
        <f t="shared" si="11"/>
        <v>0</v>
      </c>
      <c r="DA8" s="22">
        <f t="shared" si="11"/>
        <v>0</v>
      </c>
      <c r="DB8" s="22">
        <f t="shared" si="11"/>
        <v>0</v>
      </c>
      <c r="DC8" s="22">
        <f t="shared" si="11"/>
        <v>0</v>
      </c>
      <c r="DD8" s="22">
        <f t="shared" si="11"/>
        <v>0</v>
      </c>
      <c r="DE8" s="22">
        <f t="shared" si="11"/>
        <v>0</v>
      </c>
      <c r="DF8" s="22">
        <f t="shared" si="11"/>
        <v>0</v>
      </c>
      <c r="DG8" s="22">
        <f t="shared" si="11"/>
        <v>0</v>
      </c>
      <c r="DH8" s="22">
        <f t="shared" si="11"/>
        <v>0</v>
      </c>
      <c r="DI8" s="22">
        <f t="shared" si="12"/>
        <v>0</v>
      </c>
      <c r="DJ8" s="22">
        <f t="shared" si="12"/>
        <v>0</v>
      </c>
      <c r="DK8" s="22">
        <f t="shared" si="12"/>
        <v>0</v>
      </c>
      <c r="DM8" s="26">
        <f t="shared" si="15"/>
        <v>178290131</v>
      </c>
      <c r="DN8" s="26">
        <f t="shared" si="16"/>
        <v>178290131</v>
      </c>
      <c r="DO8" s="26">
        <f t="shared" si="13"/>
        <v>178290131</v>
      </c>
    </row>
    <row r="9" spans="1:121" ht="68.25" customHeight="1" x14ac:dyDescent="0.25">
      <c r="A9" s="27"/>
      <c r="B9" s="182"/>
      <c r="C9" s="18" t="s">
        <v>64</v>
      </c>
      <c r="D9" s="19" t="s">
        <v>65</v>
      </c>
      <c r="E9" s="20">
        <v>310</v>
      </c>
      <c r="F9" s="32" t="s">
        <v>66</v>
      </c>
      <c r="G9" s="22">
        <f t="shared" si="0"/>
        <v>340000000</v>
      </c>
      <c r="H9" s="22"/>
      <c r="I9" s="22">
        <f>280000000-158290131-40000000</f>
        <v>81709869</v>
      </c>
      <c r="J9" s="22"/>
      <c r="K9" s="22">
        <v>186290131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>
        <f>51000000+5000000+19000000-3000000</f>
        <v>72000000</v>
      </c>
      <c r="AB9" s="23">
        <f t="shared" si="1"/>
        <v>0.57996086470588237</v>
      </c>
      <c r="AC9" s="22">
        <f t="shared" si="2"/>
        <v>197186694</v>
      </c>
      <c r="AD9" s="22"/>
      <c r="AE9" s="22">
        <f>+'[7]FEBRERO 2017'!$K$125</f>
        <v>5834000</v>
      </c>
      <c r="AF9" s="22"/>
      <c r="AG9" s="22">
        <f>+'[5]AGOSTO 2017'!$L$346</f>
        <v>143552694</v>
      </c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>+'[5]AGOSTO 2017'!$AC$346</f>
        <v>47800000</v>
      </c>
      <c r="AX9" s="23">
        <f t="shared" si="3"/>
        <v>0.42003913529411763</v>
      </c>
      <c r="AY9" s="22">
        <f t="shared" si="4"/>
        <v>142813306</v>
      </c>
      <c r="AZ9" s="22">
        <f t="shared" si="5"/>
        <v>0</v>
      </c>
      <c r="BA9" s="22">
        <f t="shared" si="5"/>
        <v>75875869</v>
      </c>
      <c r="BB9" s="22">
        <f t="shared" si="5"/>
        <v>0</v>
      </c>
      <c r="BC9" s="22">
        <f t="shared" si="5"/>
        <v>42737437</v>
      </c>
      <c r="BD9" s="22">
        <f t="shared" si="5"/>
        <v>0</v>
      </c>
      <c r="BE9" s="22">
        <f t="shared" si="5"/>
        <v>0</v>
      </c>
      <c r="BF9" s="22">
        <f t="shared" si="5"/>
        <v>0</v>
      </c>
      <c r="BG9" s="22">
        <f t="shared" si="5"/>
        <v>0</v>
      </c>
      <c r="BH9" s="22">
        <f t="shared" si="5"/>
        <v>0</v>
      </c>
      <c r="BI9" s="22">
        <f t="shared" si="5"/>
        <v>0</v>
      </c>
      <c r="BJ9" s="22">
        <f t="shared" si="5"/>
        <v>0</v>
      </c>
      <c r="BK9" s="22">
        <f t="shared" si="5"/>
        <v>0</v>
      </c>
      <c r="BL9" s="22">
        <f t="shared" si="5"/>
        <v>0</v>
      </c>
      <c r="BM9" s="22">
        <f t="shared" si="5"/>
        <v>0</v>
      </c>
      <c r="BN9" s="22">
        <f t="shared" si="5"/>
        <v>0</v>
      </c>
      <c r="BO9" s="22">
        <f t="shared" si="5"/>
        <v>0</v>
      </c>
      <c r="BP9" s="22">
        <f t="shared" si="6"/>
        <v>0</v>
      </c>
      <c r="BQ9" s="22">
        <f t="shared" si="6"/>
        <v>0</v>
      </c>
      <c r="BR9" s="22">
        <f t="shared" si="6"/>
        <v>0</v>
      </c>
      <c r="BS9" s="22">
        <f t="shared" si="6"/>
        <v>24200000</v>
      </c>
      <c r="BT9" s="23">
        <f t="shared" si="7"/>
        <v>0.50807966764705881</v>
      </c>
      <c r="BU9" s="22">
        <f>SUM(BV9:CO9)</f>
        <v>172747087</v>
      </c>
      <c r="BV9" s="22"/>
      <c r="BW9" s="22">
        <f>+'[7]FEBRERO 2017'!$K$125</f>
        <v>5834000</v>
      </c>
      <c r="BX9" s="22"/>
      <c r="BY9" s="22">
        <f>+'[5]AGOSTO 2017'!$L$346</f>
        <v>143552694</v>
      </c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>
        <f>+'[5]AGOSTO 2017'!$H$344-BY9-BW9</f>
        <v>23360393</v>
      </c>
      <c r="CP9" s="23">
        <f t="shared" si="9"/>
        <v>0.49192033235294119</v>
      </c>
      <c r="CQ9" s="22">
        <f t="shared" si="10"/>
        <v>167252913</v>
      </c>
      <c r="CR9" s="22">
        <f t="shared" si="14"/>
        <v>0</v>
      </c>
      <c r="CS9" s="22">
        <f t="shared" si="11"/>
        <v>75875869</v>
      </c>
      <c r="CT9" s="22">
        <f t="shared" si="11"/>
        <v>0</v>
      </c>
      <c r="CU9" s="22">
        <f t="shared" si="11"/>
        <v>42737437</v>
      </c>
      <c r="CV9" s="22">
        <f t="shared" si="11"/>
        <v>0</v>
      </c>
      <c r="CW9" s="22">
        <f t="shared" si="11"/>
        <v>0</v>
      </c>
      <c r="CX9" s="22">
        <f t="shared" si="11"/>
        <v>0</v>
      </c>
      <c r="CY9" s="22">
        <f t="shared" si="11"/>
        <v>0</v>
      </c>
      <c r="CZ9" s="22">
        <f t="shared" si="11"/>
        <v>0</v>
      </c>
      <c r="DA9" s="22">
        <f t="shared" si="11"/>
        <v>0</v>
      </c>
      <c r="DB9" s="22">
        <f t="shared" si="11"/>
        <v>0</v>
      </c>
      <c r="DC9" s="22">
        <f t="shared" si="11"/>
        <v>0</v>
      </c>
      <c r="DD9" s="22">
        <f t="shared" si="11"/>
        <v>0</v>
      </c>
      <c r="DE9" s="22">
        <f t="shared" si="11"/>
        <v>0</v>
      </c>
      <c r="DF9" s="22">
        <f t="shared" si="11"/>
        <v>0</v>
      </c>
      <c r="DG9" s="22">
        <f t="shared" si="11"/>
        <v>0</v>
      </c>
      <c r="DH9" s="22">
        <f t="shared" si="11"/>
        <v>0</v>
      </c>
      <c r="DI9" s="22">
        <f t="shared" si="12"/>
        <v>0</v>
      </c>
      <c r="DJ9" s="22">
        <f t="shared" si="12"/>
        <v>0</v>
      </c>
      <c r="DK9" s="22">
        <f t="shared" si="12"/>
        <v>48639607</v>
      </c>
      <c r="DM9" s="26">
        <f t="shared" si="15"/>
        <v>340000000</v>
      </c>
      <c r="DN9" s="26">
        <f t="shared" si="16"/>
        <v>340000000</v>
      </c>
      <c r="DO9" s="26">
        <f t="shared" si="13"/>
        <v>340000000</v>
      </c>
    </row>
    <row r="10" spans="1:121" ht="24" customHeight="1" x14ac:dyDescent="0.25">
      <c r="A10" s="27"/>
      <c r="B10" s="182"/>
      <c r="C10" s="18" t="s">
        <v>67</v>
      </c>
      <c r="D10" s="19" t="s">
        <v>68</v>
      </c>
      <c r="E10" s="20">
        <v>310</v>
      </c>
      <c r="F10" s="21" t="s">
        <v>56</v>
      </c>
      <c r="G10" s="22">
        <f t="shared" si="0"/>
        <v>30000000</v>
      </c>
      <c r="H10" s="22"/>
      <c r="I10" s="22">
        <v>30000000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3">
        <f t="shared" si="1"/>
        <v>1</v>
      </c>
      <c r="AC10" s="22">
        <f t="shared" si="2"/>
        <v>30000000</v>
      </c>
      <c r="AD10" s="22"/>
      <c r="AE10" s="22">
        <f>+'[7]FEBRERO 2017'!$K$140</f>
        <v>30000000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3">
        <f t="shared" si="3"/>
        <v>0</v>
      </c>
      <c r="AY10" s="22">
        <f t="shared" si="4"/>
        <v>0</v>
      </c>
      <c r="AZ10" s="22">
        <f t="shared" si="5"/>
        <v>0</v>
      </c>
      <c r="BA10" s="22">
        <f t="shared" si="5"/>
        <v>0</v>
      </c>
      <c r="BB10" s="22">
        <f t="shared" si="5"/>
        <v>0</v>
      </c>
      <c r="BC10" s="22">
        <f t="shared" si="5"/>
        <v>0</v>
      </c>
      <c r="BD10" s="22">
        <f t="shared" si="5"/>
        <v>0</v>
      </c>
      <c r="BE10" s="22">
        <f t="shared" si="5"/>
        <v>0</v>
      </c>
      <c r="BF10" s="22">
        <f t="shared" si="5"/>
        <v>0</v>
      </c>
      <c r="BG10" s="22">
        <f t="shared" si="5"/>
        <v>0</v>
      </c>
      <c r="BH10" s="22">
        <f t="shared" si="5"/>
        <v>0</v>
      </c>
      <c r="BI10" s="22">
        <f t="shared" si="5"/>
        <v>0</v>
      </c>
      <c r="BJ10" s="22">
        <f t="shared" si="5"/>
        <v>0</v>
      </c>
      <c r="BK10" s="22">
        <f t="shared" si="5"/>
        <v>0</v>
      </c>
      <c r="BL10" s="22">
        <f t="shared" si="5"/>
        <v>0</v>
      </c>
      <c r="BM10" s="22">
        <f t="shared" si="5"/>
        <v>0</v>
      </c>
      <c r="BN10" s="22">
        <f t="shared" si="5"/>
        <v>0</v>
      </c>
      <c r="BO10" s="22">
        <f t="shared" si="5"/>
        <v>0</v>
      </c>
      <c r="BP10" s="22">
        <f t="shared" si="6"/>
        <v>0</v>
      </c>
      <c r="BQ10" s="22">
        <f t="shared" si="6"/>
        <v>0</v>
      </c>
      <c r="BR10" s="22">
        <f t="shared" si="6"/>
        <v>0</v>
      </c>
      <c r="BS10" s="22">
        <f t="shared" si="6"/>
        <v>0</v>
      </c>
      <c r="BT10" s="23">
        <f t="shared" si="7"/>
        <v>0.4425</v>
      </c>
      <c r="BU10" s="22">
        <f t="shared" si="8"/>
        <v>13275000</v>
      </c>
      <c r="BV10" s="22"/>
      <c r="BW10" s="22">
        <f>+'[6]JULIO 2017'!$H$413</f>
        <v>13275000</v>
      </c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3">
        <f t="shared" si="9"/>
        <v>0.5575</v>
      </c>
      <c r="CQ10" s="22">
        <f t="shared" si="10"/>
        <v>16725000</v>
      </c>
      <c r="CR10" s="22">
        <f t="shared" si="14"/>
        <v>0</v>
      </c>
      <c r="CS10" s="22">
        <f t="shared" si="11"/>
        <v>16725000</v>
      </c>
      <c r="CT10" s="22">
        <f t="shared" si="11"/>
        <v>0</v>
      </c>
      <c r="CU10" s="22">
        <f t="shared" si="11"/>
        <v>0</v>
      </c>
      <c r="CV10" s="22">
        <f t="shared" si="11"/>
        <v>0</v>
      </c>
      <c r="CW10" s="22">
        <f t="shared" si="11"/>
        <v>0</v>
      </c>
      <c r="CX10" s="22">
        <f t="shared" si="11"/>
        <v>0</v>
      </c>
      <c r="CY10" s="22">
        <f t="shared" si="11"/>
        <v>0</v>
      </c>
      <c r="CZ10" s="22">
        <f t="shared" si="11"/>
        <v>0</v>
      </c>
      <c r="DA10" s="22">
        <f t="shared" si="11"/>
        <v>0</v>
      </c>
      <c r="DB10" s="22">
        <f t="shared" si="11"/>
        <v>0</v>
      </c>
      <c r="DC10" s="22">
        <f t="shared" si="11"/>
        <v>0</v>
      </c>
      <c r="DD10" s="22">
        <f t="shared" si="11"/>
        <v>0</v>
      </c>
      <c r="DE10" s="22">
        <f t="shared" si="11"/>
        <v>0</v>
      </c>
      <c r="DF10" s="22">
        <f t="shared" si="11"/>
        <v>0</v>
      </c>
      <c r="DG10" s="22">
        <f t="shared" si="11"/>
        <v>0</v>
      </c>
      <c r="DH10" s="22">
        <f t="shared" si="11"/>
        <v>0</v>
      </c>
      <c r="DI10" s="22">
        <f t="shared" si="12"/>
        <v>0</v>
      </c>
      <c r="DJ10" s="22">
        <f t="shared" si="12"/>
        <v>0</v>
      </c>
      <c r="DK10" s="22">
        <f t="shared" si="12"/>
        <v>0</v>
      </c>
      <c r="DM10" s="26">
        <f t="shared" si="15"/>
        <v>30000000</v>
      </c>
      <c r="DN10" s="26">
        <f t="shared" si="16"/>
        <v>30000000</v>
      </c>
      <c r="DO10" s="26">
        <f t="shared" si="13"/>
        <v>30000000</v>
      </c>
    </row>
    <row r="11" spans="1:121" ht="46.5" customHeight="1" x14ac:dyDescent="0.25">
      <c r="A11" s="27"/>
      <c r="B11" s="182"/>
      <c r="C11" s="18" t="s">
        <v>69</v>
      </c>
      <c r="D11" s="19" t="s">
        <v>70</v>
      </c>
      <c r="E11" s="20">
        <v>310</v>
      </c>
      <c r="F11" s="21" t="s">
        <v>56</v>
      </c>
      <c r="G11" s="22">
        <f t="shared" si="0"/>
        <v>23240492</v>
      </c>
      <c r="H11" s="33"/>
      <c r="I11" s="22"/>
      <c r="J11" s="33"/>
      <c r="K11" s="22">
        <v>23240492</v>
      </c>
      <c r="L11" s="33"/>
      <c r="M11" s="22"/>
      <c r="N11" s="22"/>
      <c r="O11" s="33"/>
      <c r="P11" s="25"/>
      <c r="Q11" s="25"/>
      <c r="R11" s="25"/>
      <c r="S11" s="25"/>
      <c r="T11" s="25"/>
      <c r="U11" s="22"/>
      <c r="V11" s="33"/>
      <c r="W11" s="33"/>
      <c r="X11" s="33"/>
      <c r="Y11" s="33"/>
      <c r="Z11" s="33"/>
      <c r="AA11" s="33"/>
      <c r="AB11" s="23">
        <f t="shared" si="1"/>
        <v>1</v>
      </c>
      <c r="AC11" s="22">
        <f t="shared" si="2"/>
        <v>23240492</v>
      </c>
      <c r="AD11" s="22"/>
      <c r="AE11" s="22"/>
      <c r="AF11" s="22"/>
      <c r="AG11" s="22">
        <f>+'[2]FEBRERO 2017'!$L$180</f>
        <v>23240492</v>
      </c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>
        <f t="shared" si="3"/>
        <v>0</v>
      </c>
      <c r="AY11" s="22">
        <f t="shared" si="4"/>
        <v>0</v>
      </c>
      <c r="AZ11" s="22">
        <f t="shared" si="5"/>
        <v>0</v>
      </c>
      <c r="BA11" s="22">
        <f t="shared" si="5"/>
        <v>0</v>
      </c>
      <c r="BB11" s="22">
        <f t="shared" si="5"/>
        <v>0</v>
      </c>
      <c r="BC11" s="22">
        <f t="shared" si="5"/>
        <v>0</v>
      </c>
      <c r="BD11" s="22">
        <f t="shared" si="5"/>
        <v>0</v>
      </c>
      <c r="BE11" s="22">
        <f t="shared" si="5"/>
        <v>0</v>
      </c>
      <c r="BF11" s="22">
        <f t="shared" si="5"/>
        <v>0</v>
      </c>
      <c r="BG11" s="22">
        <f t="shared" si="5"/>
        <v>0</v>
      </c>
      <c r="BH11" s="22">
        <f t="shared" si="5"/>
        <v>0</v>
      </c>
      <c r="BI11" s="22">
        <f t="shared" si="5"/>
        <v>0</v>
      </c>
      <c r="BJ11" s="22">
        <f t="shared" si="5"/>
        <v>0</v>
      </c>
      <c r="BK11" s="22">
        <f t="shared" si="5"/>
        <v>0</v>
      </c>
      <c r="BL11" s="22">
        <f t="shared" si="5"/>
        <v>0</v>
      </c>
      <c r="BM11" s="22">
        <f t="shared" si="5"/>
        <v>0</v>
      </c>
      <c r="BN11" s="22">
        <f t="shared" si="5"/>
        <v>0</v>
      </c>
      <c r="BO11" s="22">
        <f t="shared" si="5"/>
        <v>0</v>
      </c>
      <c r="BP11" s="22">
        <f t="shared" si="6"/>
        <v>0</v>
      </c>
      <c r="BQ11" s="22">
        <f t="shared" si="6"/>
        <v>0</v>
      </c>
      <c r="BR11" s="22">
        <f t="shared" si="6"/>
        <v>0</v>
      </c>
      <c r="BS11" s="22">
        <f t="shared" si="6"/>
        <v>0</v>
      </c>
      <c r="BT11" s="23">
        <f t="shared" si="7"/>
        <v>0</v>
      </c>
      <c r="BU11" s="22">
        <f t="shared" si="8"/>
        <v>0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3">
        <f t="shared" si="9"/>
        <v>1</v>
      </c>
      <c r="CQ11" s="22">
        <f t="shared" si="10"/>
        <v>23240492</v>
      </c>
      <c r="CR11" s="22">
        <f t="shared" si="14"/>
        <v>0</v>
      </c>
      <c r="CS11" s="22">
        <f t="shared" si="11"/>
        <v>0</v>
      </c>
      <c r="CT11" s="22">
        <f t="shared" si="11"/>
        <v>0</v>
      </c>
      <c r="CU11" s="22">
        <f t="shared" si="11"/>
        <v>23240492</v>
      </c>
      <c r="CV11" s="22">
        <f t="shared" si="11"/>
        <v>0</v>
      </c>
      <c r="CW11" s="22">
        <f t="shared" si="11"/>
        <v>0</v>
      </c>
      <c r="CX11" s="22">
        <f t="shared" si="11"/>
        <v>0</v>
      </c>
      <c r="CY11" s="22">
        <f t="shared" si="11"/>
        <v>0</v>
      </c>
      <c r="CZ11" s="22">
        <f t="shared" si="11"/>
        <v>0</v>
      </c>
      <c r="DA11" s="22">
        <f t="shared" si="11"/>
        <v>0</v>
      </c>
      <c r="DB11" s="22">
        <f t="shared" si="11"/>
        <v>0</v>
      </c>
      <c r="DC11" s="22">
        <f t="shared" si="11"/>
        <v>0</v>
      </c>
      <c r="DD11" s="22">
        <f t="shared" si="11"/>
        <v>0</v>
      </c>
      <c r="DE11" s="22">
        <f t="shared" si="11"/>
        <v>0</v>
      </c>
      <c r="DF11" s="22">
        <f t="shared" si="11"/>
        <v>0</v>
      </c>
      <c r="DG11" s="22">
        <f t="shared" si="11"/>
        <v>0</v>
      </c>
      <c r="DH11" s="22">
        <f t="shared" si="11"/>
        <v>0</v>
      </c>
      <c r="DI11" s="22">
        <f t="shared" si="12"/>
        <v>0</v>
      </c>
      <c r="DJ11" s="22">
        <f t="shared" si="12"/>
        <v>0</v>
      </c>
      <c r="DK11" s="22">
        <f t="shared" si="12"/>
        <v>0</v>
      </c>
      <c r="DM11" s="26">
        <f t="shared" si="15"/>
        <v>23240492</v>
      </c>
      <c r="DN11" s="26">
        <f t="shared" si="16"/>
        <v>23240492</v>
      </c>
      <c r="DO11" s="26">
        <f t="shared" si="13"/>
        <v>23240492</v>
      </c>
    </row>
    <row r="12" spans="1:121" ht="78" customHeight="1" x14ac:dyDescent="0.25">
      <c r="A12" s="27"/>
      <c r="B12" s="29" t="s">
        <v>71</v>
      </c>
      <c r="C12" s="30" t="s">
        <v>72</v>
      </c>
      <c r="D12" s="19" t="s">
        <v>73</v>
      </c>
      <c r="E12" s="20">
        <v>510</v>
      </c>
      <c r="F12" s="21" t="s">
        <v>74</v>
      </c>
      <c r="G12" s="22">
        <f t="shared" si="0"/>
        <v>367600000</v>
      </c>
      <c r="H12" s="22"/>
      <c r="I12" s="22">
        <v>140000000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>
        <v>150000000</v>
      </c>
      <c r="V12" s="22"/>
      <c r="W12" s="22"/>
      <c r="X12" s="22"/>
      <c r="Y12" s="22"/>
      <c r="Z12" s="22"/>
      <c r="AA12" s="22">
        <f>70600000+4000000+3000000+10000000-10000000</f>
        <v>77600000</v>
      </c>
      <c r="AB12" s="23">
        <f t="shared" si="1"/>
        <v>0.94446875136017405</v>
      </c>
      <c r="AC12" s="22">
        <f t="shared" si="2"/>
        <v>347186713</v>
      </c>
      <c r="AD12" s="22"/>
      <c r="AE12" s="22">
        <f>+'[1]ENERO 2017'!$K$549</f>
        <v>140000000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>
        <f>+'[2]FEBRERO 2017'!$W$856</f>
        <v>150000000</v>
      </c>
      <c r="AR12" s="22"/>
      <c r="AS12" s="22"/>
      <c r="AT12" s="22"/>
      <c r="AU12" s="22"/>
      <c r="AV12" s="22"/>
      <c r="AW12" s="22">
        <f>+'[5]AGOSTO 2017'!$AC$2319</f>
        <v>57186713</v>
      </c>
      <c r="AX12" s="23">
        <f t="shared" si="3"/>
        <v>5.5531248639825947E-2</v>
      </c>
      <c r="AY12" s="22">
        <f t="shared" si="4"/>
        <v>20413287</v>
      </c>
      <c r="AZ12" s="22">
        <f t="shared" si="5"/>
        <v>0</v>
      </c>
      <c r="BA12" s="22">
        <f t="shared" si="5"/>
        <v>0</v>
      </c>
      <c r="BB12" s="22">
        <f t="shared" si="5"/>
        <v>0</v>
      </c>
      <c r="BC12" s="22">
        <f t="shared" si="5"/>
        <v>0</v>
      </c>
      <c r="BD12" s="22">
        <f t="shared" si="5"/>
        <v>0</v>
      </c>
      <c r="BE12" s="22">
        <f t="shared" si="5"/>
        <v>0</v>
      </c>
      <c r="BF12" s="22">
        <f t="shared" si="5"/>
        <v>0</v>
      </c>
      <c r="BG12" s="22">
        <f t="shared" si="5"/>
        <v>0</v>
      </c>
      <c r="BH12" s="22">
        <f t="shared" si="5"/>
        <v>0</v>
      </c>
      <c r="BI12" s="22">
        <f t="shared" si="5"/>
        <v>0</v>
      </c>
      <c r="BJ12" s="22">
        <f t="shared" si="5"/>
        <v>0</v>
      </c>
      <c r="BK12" s="22">
        <f t="shared" si="5"/>
        <v>0</v>
      </c>
      <c r="BL12" s="22">
        <f t="shared" si="5"/>
        <v>0</v>
      </c>
      <c r="BM12" s="22">
        <f t="shared" si="5"/>
        <v>0</v>
      </c>
      <c r="BN12" s="22">
        <f t="shared" si="5"/>
        <v>0</v>
      </c>
      <c r="BO12" s="22">
        <f t="shared" si="5"/>
        <v>0</v>
      </c>
      <c r="BP12" s="22">
        <f t="shared" si="6"/>
        <v>0</v>
      </c>
      <c r="BQ12" s="22">
        <f t="shared" si="6"/>
        <v>0</v>
      </c>
      <c r="BR12" s="22">
        <f t="shared" si="6"/>
        <v>0</v>
      </c>
      <c r="BS12" s="22">
        <f t="shared" si="6"/>
        <v>20413287</v>
      </c>
      <c r="BT12" s="23">
        <f t="shared" si="7"/>
        <v>0.72308786724700758</v>
      </c>
      <c r="BU12" s="22">
        <f t="shared" si="8"/>
        <v>265807100</v>
      </c>
      <c r="BV12" s="22"/>
      <c r="BW12" s="22">
        <f>+'[5]AGOSTO 2017'!$H$2323</f>
        <v>96774343</v>
      </c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>
        <f>+'[5]AGOSTO 2017'!$H$2347</f>
        <v>114846044</v>
      </c>
      <c r="CJ12" s="22"/>
      <c r="CK12" s="22"/>
      <c r="CL12" s="22"/>
      <c r="CM12" s="22"/>
      <c r="CN12" s="22"/>
      <c r="CO12" s="22">
        <f>+'[5]AGOSTO 2017'!$H$2320+'[5]AGOSTO 2017'!$H$2339+'[5]AGOSTO 2017'!$H$2341+'[5]AGOSTO 2017'!$H$2344+'[5]AGOSTO 2017'!$H$2345+'[5]AGOSTO 2017'!$H$2346+'[5]AGOSTO 2017'!$H$2380+'[5]AGOSTO 2017'!$H$2381+'[5]AGOSTO 2017'!$H$2383+'[5]AGOSTO 2017'!$H$2384+'[5]AGOSTO 2017'!$H$2386+'[5]AGOSTO 2017'!$H$2388+'[5]AGOSTO 2017'!$H$2390+'[5]AGOSTO 2017'!$H$2392+'[5]AGOSTO 2017'!$H$2394+'[5]AGOSTO 2017'!$H$2395+'[5]AGOSTO 2017'!$H$2396+'[5]AGOSTO 2017'!$H$2398+'[5]AGOSTO 2017'!$H$2400+'[5]AGOSTO 2017'!$H$2401+'[5]AGOSTO 2017'!$H$2403</f>
        <v>54186713</v>
      </c>
      <c r="CP12" s="23">
        <f t="shared" si="9"/>
        <v>0.27691213275299242</v>
      </c>
      <c r="CQ12" s="22">
        <f t="shared" si="10"/>
        <v>101792900</v>
      </c>
      <c r="CR12" s="22">
        <f t="shared" si="14"/>
        <v>0</v>
      </c>
      <c r="CS12" s="22">
        <f t="shared" si="11"/>
        <v>43225657</v>
      </c>
      <c r="CT12" s="22">
        <f t="shared" si="11"/>
        <v>0</v>
      </c>
      <c r="CU12" s="22">
        <f t="shared" si="11"/>
        <v>0</v>
      </c>
      <c r="CV12" s="22">
        <f t="shared" si="11"/>
        <v>0</v>
      </c>
      <c r="CW12" s="22">
        <f t="shared" si="11"/>
        <v>0</v>
      </c>
      <c r="CX12" s="22">
        <f t="shared" si="11"/>
        <v>0</v>
      </c>
      <c r="CY12" s="22">
        <f t="shared" si="11"/>
        <v>0</v>
      </c>
      <c r="CZ12" s="22">
        <f t="shared" si="11"/>
        <v>0</v>
      </c>
      <c r="DA12" s="22">
        <f t="shared" si="11"/>
        <v>0</v>
      </c>
      <c r="DB12" s="22">
        <f t="shared" si="11"/>
        <v>0</v>
      </c>
      <c r="DC12" s="22">
        <f t="shared" si="11"/>
        <v>0</v>
      </c>
      <c r="DD12" s="22">
        <f t="shared" si="11"/>
        <v>0</v>
      </c>
      <c r="DE12" s="22">
        <f t="shared" si="11"/>
        <v>35153956</v>
      </c>
      <c r="DF12" s="22">
        <f t="shared" si="11"/>
        <v>0</v>
      </c>
      <c r="DG12" s="22">
        <f t="shared" si="11"/>
        <v>0</v>
      </c>
      <c r="DH12" s="22">
        <f t="shared" si="11"/>
        <v>0</v>
      </c>
      <c r="DI12" s="22">
        <f t="shared" si="12"/>
        <v>0</v>
      </c>
      <c r="DJ12" s="22">
        <f t="shared" si="12"/>
        <v>0</v>
      </c>
      <c r="DK12" s="22">
        <f t="shared" si="12"/>
        <v>23413287</v>
      </c>
      <c r="DM12" s="26">
        <f t="shared" si="15"/>
        <v>367600000</v>
      </c>
      <c r="DN12" s="26">
        <f t="shared" si="16"/>
        <v>367600000</v>
      </c>
      <c r="DO12" s="26">
        <f t="shared" si="13"/>
        <v>367600000</v>
      </c>
    </row>
    <row r="13" spans="1:121" ht="35.25" customHeight="1" x14ac:dyDescent="0.25">
      <c r="A13" s="27"/>
      <c r="B13" s="34"/>
      <c r="C13" s="18" t="s">
        <v>75</v>
      </c>
      <c r="D13" s="19" t="s">
        <v>76</v>
      </c>
      <c r="E13" s="20">
        <v>510</v>
      </c>
      <c r="F13" s="21" t="s">
        <v>56</v>
      </c>
      <c r="G13" s="22">
        <f t="shared" si="0"/>
        <v>100000000</v>
      </c>
      <c r="H13" s="22"/>
      <c r="I13" s="22"/>
      <c r="J13" s="22">
        <v>50000000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>
        <v>50000000</v>
      </c>
      <c r="V13" s="22"/>
      <c r="W13" s="22"/>
      <c r="X13" s="22"/>
      <c r="Y13" s="22"/>
      <c r="Z13" s="22"/>
      <c r="AA13" s="22"/>
      <c r="AB13" s="23">
        <f t="shared" si="1"/>
        <v>1</v>
      </c>
      <c r="AC13" s="22">
        <f t="shared" si="2"/>
        <v>100000000</v>
      </c>
      <c r="AD13" s="22"/>
      <c r="AE13" s="22"/>
      <c r="AF13" s="22">
        <f>+'[1]ENERO 2017'!$L$565</f>
        <v>50000000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>
        <f>+'[2]FEBRERO 2017'!$W$879</f>
        <v>50000000</v>
      </c>
      <c r="AR13" s="22"/>
      <c r="AS13" s="22"/>
      <c r="AT13" s="22"/>
      <c r="AU13" s="22"/>
      <c r="AV13" s="22"/>
      <c r="AW13" s="22"/>
      <c r="AX13" s="23">
        <f t="shared" si="3"/>
        <v>0</v>
      </c>
      <c r="AY13" s="22">
        <f t="shared" si="4"/>
        <v>0</v>
      </c>
      <c r="AZ13" s="22">
        <f t="shared" si="5"/>
        <v>0</v>
      </c>
      <c r="BA13" s="22">
        <f t="shared" si="5"/>
        <v>0</v>
      </c>
      <c r="BB13" s="22">
        <f t="shared" si="5"/>
        <v>0</v>
      </c>
      <c r="BC13" s="22">
        <f t="shared" si="5"/>
        <v>0</v>
      </c>
      <c r="BD13" s="22">
        <f t="shared" si="5"/>
        <v>0</v>
      </c>
      <c r="BE13" s="22">
        <f t="shared" si="5"/>
        <v>0</v>
      </c>
      <c r="BF13" s="22">
        <f t="shared" si="5"/>
        <v>0</v>
      </c>
      <c r="BG13" s="22">
        <f t="shared" si="5"/>
        <v>0</v>
      </c>
      <c r="BH13" s="22">
        <f t="shared" si="5"/>
        <v>0</v>
      </c>
      <c r="BI13" s="22">
        <f t="shared" si="5"/>
        <v>0</v>
      </c>
      <c r="BJ13" s="22">
        <f t="shared" si="5"/>
        <v>0</v>
      </c>
      <c r="BK13" s="22">
        <f t="shared" si="5"/>
        <v>0</v>
      </c>
      <c r="BL13" s="22">
        <f t="shared" si="5"/>
        <v>0</v>
      </c>
      <c r="BM13" s="22">
        <f t="shared" si="5"/>
        <v>0</v>
      </c>
      <c r="BN13" s="22">
        <f t="shared" si="5"/>
        <v>0</v>
      </c>
      <c r="BO13" s="22">
        <f t="shared" si="5"/>
        <v>0</v>
      </c>
      <c r="BP13" s="22">
        <f t="shared" si="6"/>
        <v>0</v>
      </c>
      <c r="BQ13" s="22">
        <f t="shared" si="6"/>
        <v>0</v>
      </c>
      <c r="BR13" s="22">
        <f t="shared" si="6"/>
        <v>0</v>
      </c>
      <c r="BS13" s="22">
        <f t="shared" si="6"/>
        <v>0</v>
      </c>
      <c r="BT13" s="23">
        <f t="shared" si="7"/>
        <v>0.60482608999999998</v>
      </c>
      <c r="BU13" s="22">
        <f t="shared" si="8"/>
        <v>60482609</v>
      </c>
      <c r="BV13" s="22"/>
      <c r="BW13" s="22"/>
      <c r="BX13" s="22">
        <f>+'[5]AGOSTO 2017'!$H$2411</f>
        <v>45843057</v>
      </c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>
        <f>+'[5]AGOSTO 2017'!$H$2452</f>
        <v>14639552</v>
      </c>
      <c r="CJ13" s="22"/>
      <c r="CK13" s="22"/>
      <c r="CL13" s="22"/>
      <c r="CM13" s="22"/>
      <c r="CN13" s="22"/>
      <c r="CO13" s="22"/>
      <c r="CP13" s="23">
        <f t="shared" si="9"/>
        <v>0.39517391000000002</v>
      </c>
      <c r="CQ13" s="22">
        <f t="shared" si="10"/>
        <v>39517391</v>
      </c>
      <c r="CR13" s="22">
        <f t="shared" si="14"/>
        <v>0</v>
      </c>
      <c r="CS13" s="22">
        <f t="shared" si="11"/>
        <v>0</v>
      </c>
      <c r="CT13" s="22">
        <f t="shared" si="11"/>
        <v>4156943</v>
      </c>
      <c r="CU13" s="22">
        <f t="shared" si="11"/>
        <v>0</v>
      </c>
      <c r="CV13" s="22">
        <f t="shared" si="11"/>
        <v>0</v>
      </c>
      <c r="CW13" s="22">
        <f t="shared" si="11"/>
        <v>0</v>
      </c>
      <c r="CX13" s="22">
        <f t="shared" si="11"/>
        <v>0</v>
      </c>
      <c r="CY13" s="22">
        <f t="shared" si="11"/>
        <v>0</v>
      </c>
      <c r="CZ13" s="22">
        <f t="shared" si="11"/>
        <v>0</v>
      </c>
      <c r="DA13" s="22">
        <f t="shared" si="11"/>
        <v>0</v>
      </c>
      <c r="DB13" s="22">
        <f t="shared" si="11"/>
        <v>0</v>
      </c>
      <c r="DC13" s="22">
        <f t="shared" si="11"/>
        <v>0</v>
      </c>
      <c r="DD13" s="22">
        <f t="shared" si="11"/>
        <v>0</v>
      </c>
      <c r="DE13" s="22">
        <f t="shared" si="11"/>
        <v>35360448</v>
      </c>
      <c r="DF13" s="22">
        <f t="shared" si="11"/>
        <v>0</v>
      </c>
      <c r="DG13" s="22">
        <f t="shared" si="11"/>
        <v>0</v>
      </c>
      <c r="DH13" s="22">
        <f t="shared" si="11"/>
        <v>0</v>
      </c>
      <c r="DI13" s="22">
        <f t="shared" si="12"/>
        <v>0</v>
      </c>
      <c r="DJ13" s="22">
        <f t="shared" si="12"/>
        <v>0</v>
      </c>
      <c r="DK13" s="22">
        <f t="shared" si="12"/>
        <v>0</v>
      </c>
      <c r="DM13" s="26">
        <f t="shared" si="15"/>
        <v>100000000</v>
      </c>
      <c r="DN13" s="26">
        <f t="shared" si="16"/>
        <v>100000000</v>
      </c>
      <c r="DO13" s="26">
        <f t="shared" si="13"/>
        <v>100000000</v>
      </c>
    </row>
    <row r="14" spans="1:121" ht="47.25" customHeight="1" x14ac:dyDescent="0.25">
      <c r="A14" s="27"/>
      <c r="B14" s="34"/>
      <c r="C14" s="18" t="s">
        <v>77</v>
      </c>
      <c r="D14" s="19" t="s">
        <v>78</v>
      </c>
      <c r="E14" s="20">
        <v>510</v>
      </c>
      <c r="F14" s="21" t="s">
        <v>56</v>
      </c>
      <c r="G14" s="22">
        <f t="shared" si="0"/>
        <v>75092920</v>
      </c>
      <c r="H14" s="22"/>
      <c r="I14" s="22"/>
      <c r="J14" s="22">
        <v>50000000</v>
      </c>
      <c r="K14" s="22">
        <v>25092920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3">
        <f t="shared" si="1"/>
        <v>1</v>
      </c>
      <c r="AC14" s="22">
        <f t="shared" si="2"/>
        <v>75092920</v>
      </c>
      <c r="AD14" s="22"/>
      <c r="AE14" s="22"/>
      <c r="AF14" s="22">
        <f>+'[4]MAYO 2017'!$L$1270</f>
        <v>50000000</v>
      </c>
      <c r="AG14" s="22">
        <f>+'[2]FEBRERO 2017'!$L$887</f>
        <v>25092920</v>
      </c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3">
        <f t="shared" si="3"/>
        <v>0</v>
      </c>
      <c r="AY14" s="22">
        <f t="shared" si="4"/>
        <v>0</v>
      </c>
      <c r="AZ14" s="22">
        <f t="shared" si="5"/>
        <v>0</v>
      </c>
      <c r="BA14" s="22">
        <f t="shared" si="5"/>
        <v>0</v>
      </c>
      <c r="BB14" s="22">
        <f t="shared" si="5"/>
        <v>0</v>
      </c>
      <c r="BC14" s="22">
        <f t="shared" si="5"/>
        <v>0</v>
      </c>
      <c r="BD14" s="22">
        <f t="shared" si="5"/>
        <v>0</v>
      </c>
      <c r="BE14" s="22">
        <f t="shared" si="5"/>
        <v>0</v>
      </c>
      <c r="BF14" s="22">
        <f t="shared" si="5"/>
        <v>0</v>
      </c>
      <c r="BG14" s="22">
        <f t="shared" si="5"/>
        <v>0</v>
      </c>
      <c r="BH14" s="22">
        <f t="shared" si="5"/>
        <v>0</v>
      </c>
      <c r="BI14" s="22">
        <f t="shared" si="5"/>
        <v>0</v>
      </c>
      <c r="BJ14" s="22">
        <f t="shared" si="5"/>
        <v>0</v>
      </c>
      <c r="BK14" s="22">
        <f t="shared" si="5"/>
        <v>0</v>
      </c>
      <c r="BL14" s="22">
        <f t="shared" si="5"/>
        <v>0</v>
      </c>
      <c r="BM14" s="22">
        <f t="shared" si="5"/>
        <v>0</v>
      </c>
      <c r="BN14" s="22">
        <f t="shared" si="5"/>
        <v>0</v>
      </c>
      <c r="BO14" s="22">
        <f t="shared" si="5"/>
        <v>0</v>
      </c>
      <c r="BP14" s="22">
        <f t="shared" si="6"/>
        <v>0</v>
      </c>
      <c r="BQ14" s="22">
        <f t="shared" si="6"/>
        <v>0</v>
      </c>
      <c r="BR14" s="22">
        <f t="shared" si="6"/>
        <v>0</v>
      </c>
      <c r="BS14" s="22">
        <f t="shared" si="6"/>
        <v>0</v>
      </c>
      <c r="BT14" s="23">
        <f t="shared" si="7"/>
        <v>0.25091376124406933</v>
      </c>
      <c r="BU14" s="22">
        <f t="shared" si="8"/>
        <v>18841847</v>
      </c>
      <c r="BV14" s="22"/>
      <c r="BW14" s="22"/>
      <c r="BX14" s="22"/>
      <c r="BY14" s="22">
        <f>+'[5]AGOSTO 2017'!$H$2461</f>
        <v>18841847</v>
      </c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3">
        <f t="shared" si="9"/>
        <v>0.74908623875593072</v>
      </c>
      <c r="CQ14" s="22">
        <f t="shared" si="10"/>
        <v>56251073</v>
      </c>
      <c r="CR14" s="22">
        <f t="shared" si="14"/>
        <v>0</v>
      </c>
      <c r="CS14" s="22">
        <f t="shared" si="11"/>
        <v>0</v>
      </c>
      <c r="CT14" s="22">
        <f t="shared" si="11"/>
        <v>50000000</v>
      </c>
      <c r="CU14" s="22">
        <f t="shared" si="11"/>
        <v>6251073</v>
      </c>
      <c r="CV14" s="22">
        <f t="shared" si="11"/>
        <v>0</v>
      </c>
      <c r="CW14" s="22">
        <f t="shared" si="11"/>
        <v>0</v>
      </c>
      <c r="CX14" s="22">
        <f t="shared" si="11"/>
        <v>0</v>
      </c>
      <c r="CY14" s="22">
        <f t="shared" si="11"/>
        <v>0</v>
      </c>
      <c r="CZ14" s="22">
        <f t="shared" si="11"/>
        <v>0</v>
      </c>
      <c r="DA14" s="22">
        <f t="shared" si="11"/>
        <v>0</v>
      </c>
      <c r="DB14" s="22">
        <f t="shared" si="11"/>
        <v>0</v>
      </c>
      <c r="DC14" s="22">
        <f t="shared" si="11"/>
        <v>0</v>
      </c>
      <c r="DD14" s="22">
        <f t="shared" si="11"/>
        <v>0</v>
      </c>
      <c r="DE14" s="22">
        <f t="shared" si="11"/>
        <v>0</v>
      </c>
      <c r="DF14" s="22">
        <f t="shared" si="11"/>
        <v>0</v>
      </c>
      <c r="DG14" s="22">
        <f t="shared" si="11"/>
        <v>0</v>
      </c>
      <c r="DH14" s="22">
        <f t="shared" si="11"/>
        <v>0</v>
      </c>
      <c r="DI14" s="22">
        <f t="shared" si="12"/>
        <v>0</v>
      </c>
      <c r="DJ14" s="22">
        <f t="shared" si="12"/>
        <v>0</v>
      </c>
      <c r="DK14" s="22">
        <f t="shared" si="12"/>
        <v>0</v>
      </c>
      <c r="DM14" s="26">
        <f t="shared" si="15"/>
        <v>75092920</v>
      </c>
      <c r="DN14" s="26">
        <f t="shared" si="16"/>
        <v>75092920</v>
      </c>
      <c r="DO14" s="26">
        <f t="shared" si="13"/>
        <v>75092920</v>
      </c>
    </row>
    <row r="15" spans="1:121" ht="33" customHeight="1" x14ac:dyDescent="0.25">
      <c r="A15" s="27"/>
      <c r="B15" s="34"/>
      <c r="C15" s="18" t="s">
        <v>79</v>
      </c>
      <c r="D15" s="19" t="s">
        <v>80</v>
      </c>
      <c r="E15" s="20">
        <v>510</v>
      </c>
      <c r="F15" s="21" t="s">
        <v>56</v>
      </c>
      <c r="G15" s="22">
        <f t="shared" si="0"/>
        <v>103646000</v>
      </c>
      <c r="H15" s="22"/>
      <c r="I15" s="22"/>
      <c r="J15" s="22">
        <v>80000000</v>
      </c>
      <c r="K15" s="22">
        <v>23646000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3">
        <f t="shared" si="1"/>
        <v>1</v>
      </c>
      <c r="AC15" s="22">
        <f t="shared" si="2"/>
        <v>103646000</v>
      </c>
      <c r="AD15" s="22"/>
      <c r="AE15" s="22"/>
      <c r="AF15" s="22">
        <f>+'[1]ENERO 2017'!$L$579</f>
        <v>80000000</v>
      </c>
      <c r="AG15" s="22">
        <v>23646000</v>
      </c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3">
        <f>1-AB15</f>
        <v>0</v>
      </c>
      <c r="AY15" s="22">
        <f t="shared" si="4"/>
        <v>0</v>
      </c>
      <c r="AZ15" s="22">
        <f t="shared" si="5"/>
        <v>0</v>
      </c>
      <c r="BA15" s="22">
        <f t="shared" si="5"/>
        <v>0</v>
      </c>
      <c r="BB15" s="22">
        <f t="shared" si="5"/>
        <v>0</v>
      </c>
      <c r="BC15" s="22">
        <f t="shared" si="5"/>
        <v>0</v>
      </c>
      <c r="BD15" s="22">
        <f t="shared" si="5"/>
        <v>0</v>
      </c>
      <c r="BE15" s="22">
        <f t="shared" si="5"/>
        <v>0</v>
      </c>
      <c r="BF15" s="22">
        <f t="shared" si="5"/>
        <v>0</v>
      </c>
      <c r="BG15" s="22">
        <f t="shared" si="5"/>
        <v>0</v>
      </c>
      <c r="BH15" s="22">
        <f t="shared" si="5"/>
        <v>0</v>
      </c>
      <c r="BI15" s="22">
        <f t="shared" si="5"/>
        <v>0</v>
      </c>
      <c r="BJ15" s="22">
        <f t="shared" si="5"/>
        <v>0</v>
      </c>
      <c r="BK15" s="22">
        <f t="shared" si="5"/>
        <v>0</v>
      </c>
      <c r="BL15" s="22">
        <f t="shared" si="5"/>
        <v>0</v>
      </c>
      <c r="BM15" s="22">
        <f t="shared" si="5"/>
        <v>0</v>
      </c>
      <c r="BN15" s="22">
        <f t="shared" si="5"/>
        <v>0</v>
      </c>
      <c r="BO15" s="22">
        <f t="shared" si="5"/>
        <v>0</v>
      </c>
      <c r="BP15" s="22">
        <f t="shared" si="6"/>
        <v>0</v>
      </c>
      <c r="BQ15" s="22">
        <f t="shared" si="6"/>
        <v>0</v>
      </c>
      <c r="BR15" s="22">
        <f t="shared" si="6"/>
        <v>0</v>
      </c>
      <c r="BS15" s="22">
        <f t="shared" si="6"/>
        <v>0</v>
      </c>
      <c r="BT15" s="23">
        <f t="shared" si="7"/>
        <v>0.65871728769079363</v>
      </c>
      <c r="BU15" s="22">
        <f t="shared" si="8"/>
        <v>68273412</v>
      </c>
      <c r="BV15" s="22"/>
      <c r="BW15" s="22"/>
      <c r="BX15" s="22">
        <f>+'[5]AGOSTO 2017'!$H$2468-BY15</f>
        <v>44627412</v>
      </c>
      <c r="BY15" s="22">
        <v>23646000</v>
      </c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3">
        <f t="shared" si="9"/>
        <v>0.34128271230920637</v>
      </c>
      <c r="CQ15" s="22">
        <f t="shared" si="10"/>
        <v>35372588</v>
      </c>
      <c r="CR15" s="22">
        <f t="shared" si="14"/>
        <v>0</v>
      </c>
      <c r="CS15" s="22">
        <f t="shared" si="11"/>
        <v>0</v>
      </c>
      <c r="CT15" s="22">
        <f t="shared" si="11"/>
        <v>35372588</v>
      </c>
      <c r="CU15" s="22">
        <f>K15-BY15</f>
        <v>0</v>
      </c>
      <c r="CV15" s="22">
        <f t="shared" si="11"/>
        <v>0</v>
      </c>
      <c r="CW15" s="22">
        <f t="shared" si="11"/>
        <v>0</v>
      </c>
      <c r="CX15" s="22">
        <f t="shared" si="11"/>
        <v>0</v>
      </c>
      <c r="CY15" s="22">
        <f t="shared" si="11"/>
        <v>0</v>
      </c>
      <c r="CZ15" s="22">
        <f t="shared" si="11"/>
        <v>0</v>
      </c>
      <c r="DA15" s="22">
        <f t="shared" si="11"/>
        <v>0</v>
      </c>
      <c r="DB15" s="22">
        <f t="shared" si="11"/>
        <v>0</v>
      </c>
      <c r="DC15" s="22">
        <f t="shared" si="11"/>
        <v>0</v>
      </c>
      <c r="DD15" s="22">
        <f t="shared" si="11"/>
        <v>0</v>
      </c>
      <c r="DE15" s="22">
        <f t="shared" si="11"/>
        <v>0</v>
      </c>
      <c r="DF15" s="22">
        <f t="shared" si="11"/>
        <v>0</v>
      </c>
      <c r="DG15" s="22">
        <f t="shared" si="11"/>
        <v>0</v>
      </c>
      <c r="DH15" s="22">
        <f t="shared" si="11"/>
        <v>0</v>
      </c>
      <c r="DI15" s="22">
        <f t="shared" si="12"/>
        <v>0</v>
      </c>
      <c r="DJ15" s="22">
        <f t="shared" si="12"/>
        <v>0</v>
      </c>
      <c r="DK15" s="22">
        <f t="shared" si="12"/>
        <v>0</v>
      </c>
      <c r="DM15" s="26">
        <f t="shared" si="15"/>
        <v>103646000</v>
      </c>
      <c r="DN15" s="26">
        <f t="shared" si="16"/>
        <v>103646000</v>
      </c>
      <c r="DO15" s="26">
        <f t="shared" si="13"/>
        <v>103646000</v>
      </c>
      <c r="DQ15" s="35"/>
    </row>
    <row r="16" spans="1:121" ht="32.25" customHeight="1" x14ac:dyDescent="0.25">
      <c r="A16" s="27"/>
      <c r="B16" s="34"/>
      <c r="C16" s="18" t="s">
        <v>81</v>
      </c>
      <c r="D16" s="19" t="s">
        <v>82</v>
      </c>
      <c r="E16" s="20">
        <v>510</v>
      </c>
      <c r="F16" s="21" t="s">
        <v>56</v>
      </c>
      <c r="G16" s="22">
        <f t="shared" si="0"/>
        <v>34000000</v>
      </c>
      <c r="H16" s="22"/>
      <c r="I16" s="22"/>
      <c r="J16" s="22">
        <v>34000000</v>
      </c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3">
        <f t="shared" si="1"/>
        <v>3.164705882352941E-2</v>
      </c>
      <c r="AC16" s="22">
        <f t="shared" si="2"/>
        <v>1076000</v>
      </c>
      <c r="AD16" s="22"/>
      <c r="AE16" s="22"/>
      <c r="AF16" s="22">
        <f>+'[2]FEBRERO 2017'!$L$911</f>
        <v>1076000</v>
      </c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>
        <f t="shared" si="3"/>
        <v>0.96835294117647064</v>
      </c>
      <c r="AY16" s="22">
        <f t="shared" ref="AY16:AY23" si="17">SUM(AZ16:BS16)</f>
        <v>32924000</v>
      </c>
      <c r="AZ16" s="22">
        <f t="shared" si="5"/>
        <v>0</v>
      </c>
      <c r="BA16" s="22">
        <f t="shared" si="5"/>
        <v>0</v>
      </c>
      <c r="BB16" s="22">
        <f t="shared" si="5"/>
        <v>32924000</v>
      </c>
      <c r="BC16" s="22">
        <f t="shared" si="5"/>
        <v>0</v>
      </c>
      <c r="BD16" s="22">
        <f t="shared" si="5"/>
        <v>0</v>
      </c>
      <c r="BE16" s="22">
        <f t="shared" si="5"/>
        <v>0</v>
      </c>
      <c r="BF16" s="22">
        <f t="shared" si="5"/>
        <v>0</v>
      </c>
      <c r="BG16" s="22">
        <f t="shared" si="5"/>
        <v>0</v>
      </c>
      <c r="BH16" s="22">
        <f t="shared" si="5"/>
        <v>0</v>
      </c>
      <c r="BI16" s="22">
        <f t="shared" si="5"/>
        <v>0</v>
      </c>
      <c r="BJ16" s="22">
        <f t="shared" si="5"/>
        <v>0</v>
      </c>
      <c r="BK16" s="22">
        <f t="shared" si="5"/>
        <v>0</v>
      </c>
      <c r="BL16" s="22">
        <f t="shared" si="5"/>
        <v>0</v>
      </c>
      <c r="BM16" s="22">
        <f t="shared" si="5"/>
        <v>0</v>
      </c>
      <c r="BN16" s="22">
        <f t="shared" si="5"/>
        <v>0</v>
      </c>
      <c r="BO16" s="22">
        <f t="shared" si="5"/>
        <v>0</v>
      </c>
      <c r="BP16" s="22">
        <f t="shared" si="6"/>
        <v>0</v>
      </c>
      <c r="BQ16" s="22">
        <f t="shared" si="6"/>
        <v>0</v>
      </c>
      <c r="BR16" s="22">
        <f t="shared" si="6"/>
        <v>0</v>
      </c>
      <c r="BS16" s="22">
        <f t="shared" si="6"/>
        <v>0</v>
      </c>
      <c r="BT16" s="23">
        <f t="shared" si="7"/>
        <v>3.164705882352941E-2</v>
      </c>
      <c r="BU16" s="22">
        <f t="shared" si="8"/>
        <v>1076000</v>
      </c>
      <c r="BV16" s="22"/>
      <c r="BW16" s="22"/>
      <c r="BX16" s="22">
        <f>+'[2]FEBRERO 2017'!$H$909</f>
        <v>1076000</v>
      </c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3">
        <f t="shared" si="9"/>
        <v>0.96835294117647064</v>
      </c>
      <c r="CQ16" s="22">
        <f t="shared" si="10"/>
        <v>32924000</v>
      </c>
      <c r="CR16" s="22">
        <f t="shared" si="14"/>
        <v>0</v>
      </c>
      <c r="CS16" s="22">
        <f t="shared" si="11"/>
        <v>0</v>
      </c>
      <c r="CT16" s="22">
        <f t="shared" si="11"/>
        <v>32924000</v>
      </c>
      <c r="CU16" s="22">
        <f t="shared" si="11"/>
        <v>0</v>
      </c>
      <c r="CV16" s="22">
        <f t="shared" si="11"/>
        <v>0</v>
      </c>
      <c r="CW16" s="22">
        <f t="shared" si="11"/>
        <v>0</v>
      </c>
      <c r="CX16" s="22">
        <f t="shared" si="11"/>
        <v>0</v>
      </c>
      <c r="CY16" s="22">
        <f t="shared" si="11"/>
        <v>0</v>
      </c>
      <c r="CZ16" s="22">
        <f t="shared" si="11"/>
        <v>0</v>
      </c>
      <c r="DA16" s="22">
        <f t="shared" si="11"/>
        <v>0</v>
      </c>
      <c r="DB16" s="22">
        <f t="shared" si="11"/>
        <v>0</v>
      </c>
      <c r="DC16" s="22">
        <f t="shared" si="11"/>
        <v>0</v>
      </c>
      <c r="DD16" s="22">
        <f t="shared" si="11"/>
        <v>0</v>
      </c>
      <c r="DE16" s="22">
        <f t="shared" si="11"/>
        <v>0</v>
      </c>
      <c r="DF16" s="22">
        <f t="shared" si="11"/>
        <v>0</v>
      </c>
      <c r="DG16" s="22">
        <f t="shared" si="11"/>
        <v>0</v>
      </c>
      <c r="DH16" s="22">
        <f t="shared" si="11"/>
        <v>0</v>
      </c>
      <c r="DI16" s="22">
        <f t="shared" si="12"/>
        <v>0</v>
      </c>
      <c r="DJ16" s="22">
        <f t="shared" si="12"/>
        <v>0</v>
      </c>
      <c r="DK16" s="22">
        <f t="shared" si="12"/>
        <v>0</v>
      </c>
      <c r="DM16" s="26">
        <f t="shared" si="15"/>
        <v>34000000</v>
      </c>
      <c r="DN16" s="26">
        <f>+AC16+AY16</f>
        <v>34000000</v>
      </c>
      <c r="DO16" s="26">
        <f t="shared" si="13"/>
        <v>34000000</v>
      </c>
    </row>
    <row r="17" spans="1:120" ht="39" customHeight="1" x14ac:dyDescent="0.25">
      <c r="A17" s="27"/>
      <c r="B17" s="184" t="s">
        <v>83</v>
      </c>
      <c r="C17" s="30" t="s">
        <v>84</v>
      </c>
      <c r="D17" s="31" t="s">
        <v>85</v>
      </c>
      <c r="E17" s="20">
        <v>510</v>
      </c>
      <c r="F17" s="21" t="s">
        <v>86</v>
      </c>
      <c r="G17" s="22">
        <f t="shared" si="0"/>
        <v>221000000</v>
      </c>
      <c r="H17" s="22"/>
      <c r="I17" s="22">
        <f>65000000+100000000+40000000</f>
        <v>205000000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>
        <v>16000000</v>
      </c>
      <c r="AB17" s="23">
        <f t="shared" si="1"/>
        <v>0.99925212669683261</v>
      </c>
      <c r="AC17" s="22">
        <f t="shared" si="2"/>
        <v>220834720</v>
      </c>
      <c r="AD17" s="22"/>
      <c r="AE17" s="22">
        <f>+'[5]AGOSTO 2017'!$K$2502</f>
        <v>204834720</v>
      </c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>
        <f>+'[3]JUNIO 2017'!$AC$1533</f>
        <v>16000000</v>
      </c>
      <c r="AX17" s="23">
        <f>1-AB17</f>
        <v>7.4787330316739009E-4</v>
      </c>
      <c r="AY17" s="22">
        <f t="shared" si="17"/>
        <v>165280</v>
      </c>
      <c r="AZ17" s="22">
        <f t="shared" si="5"/>
        <v>0</v>
      </c>
      <c r="BA17" s="22">
        <f t="shared" si="5"/>
        <v>165280</v>
      </c>
      <c r="BB17" s="22">
        <f t="shared" si="5"/>
        <v>0</v>
      </c>
      <c r="BC17" s="22">
        <f t="shared" si="5"/>
        <v>0</v>
      </c>
      <c r="BD17" s="22">
        <f t="shared" si="5"/>
        <v>0</v>
      </c>
      <c r="BE17" s="22">
        <f t="shared" si="5"/>
        <v>0</v>
      </c>
      <c r="BF17" s="22">
        <f t="shared" si="5"/>
        <v>0</v>
      </c>
      <c r="BG17" s="22">
        <f t="shared" si="5"/>
        <v>0</v>
      </c>
      <c r="BH17" s="22">
        <f t="shared" si="5"/>
        <v>0</v>
      </c>
      <c r="BI17" s="22">
        <f t="shared" si="5"/>
        <v>0</v>
      </c>
      <c r="BJ17" s="22">
        <f t="shared" si="5"/>
        <v>0</v>
      </c>
      <c r="BK17" s="22">
        <f t="shared" si="5"/>
        <v>0</v>
      </c>
      <c r="BL17" s="22">
        <f t="shared" si="5"/>
        <v>0</v>
      </c>
      <c r="BM17" s="22">
        <f t="shared" si="5"/>
        <v>0</v>
      </c>
      <c r="BN17" s="22">
        <f t="shared" si="5"/>
        <v>0</v>
      </c>
      <c r="BO17" s="22">
        <f t="shared" si="5"/>
        <v>0</v>
      </c>
      <c r="BP17" s="22">
        <f t="shared" si="6"/>
        <v>0</v>
      </c>
      <c r="BQ17" s="22">
        <f t="shared" si="6"/>
        <v>0</v>
      </c>
      <c r="BR17" s="22">
        <f t="shared" si="6"/>
        <v>0</v>
      </c>
      <c r="BS17" s="22">
        <f t="shared" si="6"/>
        <v>0</v>
      </c>
      <c r="BT17" s="23">
        <f t="shared" si="7"/>
        <v>0.73582141628959274</v>
      </c>
      <c r="BU17" s="22">
        <f t="shared" si="8"/>
        <v>162616533</v>
      </c>
      <c r="BV17" s="22"/>
      <c r="BW17" s="22">
        <f>+'[5]AGOSTO 2017'!$H$2500-'[5]AGOSTO 2017'!$H$2536</f>
        <v>150571965</v>
      </c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>
        <f>+'[5]AGOSTO 2017'!$H$2536</f>
        <v>12044568</v>
      </c>
      <c r="CP17" s="23">
        <f t="shared" si="9"/>
        <v>0.26417858371040726</v>
      </c>
      <c r="CQ17" s="22">
        <f t="shared" si="10"/>
        <v>58383467</v>
      </c>
      <c r="CR17" s="22">
        <f t="shared" si="14"/>
        <v>0</v>
      </c>
      <c r="CS17" s="22">
        <f t="shared" si="11"/>
        <v>54428035</v>
      </c>
      <c r="CT17" s="22">
        <f t="shared" si="11"/>
        <v>0</v>
      </c>
      <c r="CU17" s="22">
        <f t="shared" si="11"/>
        <v>0</v>
      </c>
      <c r="CV17" s="22">
        <f t="shared" si="11"/>
        <v>0</v>
      </c>
      <c r="CW17" s="22">
        <f t="shared" si="11"/>
        <v>0</v>
      </c>
      <c r="CX17" s="22">
        <f t="shared" si="11"/>
        <v>0</v>
      </c>
      <c r="CY17" s="22">
        <f t="shared" si="11"/>
        <v>0</v>
      </c>
      <c r="CZ17" s="22">
        <f t="shared" si="11"/>
        <v>0</v>
      </c>
      <c r="DA17" s="22">
        <f t="shared" si="11"/>
        <v>0</v>
      </c>
      <c r="DB17" s="22">
        <f t="shared" si="11"/>
        <v>0</v>
      </c>
      <c r="DC17" s="22">
        <f t="shared" si="11"/>
        <v>0</v>
      </c>
      <c r="DD17" s="22">
        <f t="shared" si="11"/>
        <v>0</v>
      </c>
      <c r="DE17" s="22">
        <f t="shared" si="11"/>
        <v>0</v>
      </c>
      <c r="DF17" s="22">
        <f t="shared" si="11"/>
        <v>0</v>
      </c>
      <c r="DG17" s="22">
        <f t="shared" si="11"/>
        <v>0</v>
      </c>
      <c r="DH17" s="22">
        <f t="shared" si="11"/>
        <v>0</v>
      </c>
      <c r="DI17" s="22">
        <f t="shared" si="12"/>
        <v>0</v>
      </c>
      <c r="DJ17" s="22">
        <f t="shared" si="12"/>
        <v>0</v>
      </c>
      <c r="DK17" s="22">
        <f t="shared" si="12"/>
        <v>3955432</v>
      </c>
      <c r="DM17" s="26">
        <f t="shared" si="15"/>
        <v>221000000</v>
      </c>
      <c r="DN17" s="26">
        <f>+AC17+AY17</f>
        <v>221000000</v>
      </c>
      <c r="DO17" s="26">
        <f t="shared" si="13"/>
        <v>221000000</v>
      </c>
    </row>
    <row r="18" spans="1:120" ht="48" customHeight="1" x14ac:dyDescent="0.25">
      <c r="A18" s="27"/>
      <c r="B18" s="184"/>
      <c r="C18" s="30" t="s">
        <v>87</v>
      </c>
      <c r="D18" s="19" t="s">
        <v>88</v>
      </c>
      <c r="E18" s="20">
        <v>510</v>
      </c>
      <c r="F18" s="21" t="s">
        <v>86</v>
      </c>
      <c r="G18" s="22">
        <f t="shared" si="0"/>
        <v>53440391</v>
      </c>
      <c r="H18" s="22"/>
      <c r="I18" s="22">
        <v>25000000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>
        <v>7440391</v>
      </c>
      <c r="V18" s="22"/>
      <c r="W18" s="22"/>
      <c r="X18" s="22"/>
      <c r="Y18" s="22"/>
      <c r="Z18" s="22"/>
      <c r="AA18" s="22">
        <f>5000000+16000000</f>
        <v>21000000</v>
      </c>
      <c r="AB18" s="23">
        <f t="shared" si="1"/>
        <v>0.75673830679869092</v>
      </c>
      <c r="AC18" s="22">
        <f t="shared" si="2"/>
        <v>40440391</v>
      </c>
      <c r="AD18" s="22"/>
      <c r="AE18" s="22">
        <f>+'[1]ENERO 2017'!$K$602</f>
        <v>25000000</v>
      </c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>
        <f>+'[2]FEBRERO 2017'!$W$952</f>
        <v>7440391</v>
      </c>
      <c r="AR18" s="22"/>
      <c r="AS18" s="22"/>
      <c r="AT18" s="22"/>
      <c r="AU18" s="22"/>
      <c r="AV18" s="22"/>
      <c r="AW18" s="22">
        <f>+'[5]AGOSTO 2017'!$AC$2543</f>
        <v>8000000</v>
      </c>
      <c r="AX18" s="23">
        <f t="shared" si="3"/>
        <v>0.24326169320130908</v>
      </c>
      <c r="AY18" s="22">
        <f t="shared" si="17"/>
        <v>13000000</v>
      </c>
      <c r="AZ18" s="22">
        <f t="shared" si="5"/>
        <v>0</v>
      </c>
      <c r="BA18" s="22">
        <f t="shared" si="5"/>
        <v>0</v>
      </c>
      <c r="BB18" s="22">
        <f t="shared" si="5"/>
        <v>0</v>
      </c>
      <c r="BC18" s="22">
        <f t="shared" si="5"/>
        <v>0</v>
      </c>
      <c r="BD18" s="22">
        <f t="shared" si="5"/>
        <v>0</v>
      </c>
      <c r="BE18" s="22">
        <f t="shared" si="5"/>
        <v>0</v>
      </c>
      <c r="BF18" s="22">
        <f t="shared" si="5"/>
        <v>0</v>
      </c>
      <c r="BG18" s="22">
        <f t="shared" si="5"/>
        <v>0</v>
      </c>
      <c r="BH18" s="22">
        <f t="shared" si="5"/>
        <v>0</v>
      </c>
      <c r="BI18" s="22">
        <f t="shared" si="5"/>
        <v>0</v>
      </c>
      <c r="BJ18" s="22">
        <f t="shared" si="5"/>
        <v>0</v>
      </c>
      <c r="BK18" s="22">
        <f t="shared" si="5"/>
        <v>0</v>
      </c>
      <c r="BL18" s="22">
        <f t="shared" si="5"/>
        <v>0</v>
      </c>
      <c r="BM18" s="22">
        <f t="shared" si="5"/>
        <v>0</v>
      </c>
      <c r="BN18" s="22">
        <f t="shared" si="5"/>
        <v>0</v>
      </c>
      <c r="BO18" s="22">
        <f t="shared" si="5"/>
        <v>0</v>
      </c>
      <c r="BP18" s="22">
        <f t="shared" si="6"/>
        <v>0</v>
      </c>
      <c r="BQ18" s="22">
        <f t="shared" si="6"/>
        <v>0</v>
      </c>
      <c r="BR18" s="22">
        <f t="shared" si="6"/>
        <v>0</v>
      </c>
      <c r="BS18" s="22">
        <f t="shared" si="6"/>
        <v>13000000</v>
      </c>
      <c r="BT18" s="23">
        <f t="shared" si="7"/>
        <v>0.52275974178407492</v>
      </c>
      <c r="BU18" s="22">
        <f t="shared" si="8"/>
        <v>27936485</v>
      </c>
      <c r="BV18" s="22"/>
      <c r="BW18" s="22">
        <f>+'[8]ABRIL 2017'!$H$1134</f>
        <v>23359120</v>
      </c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>
        <f>+'[5]AGOSTO 2017'!$H$2549</f>
        <v>4577365</v>
      </c>
      <c r="CJ18" s="22"/>
      <c r="CK18" s="22"/>
      <c r="CL18" s="22"/>
      <c r="CM18" s="22"/>
      <c r="CN18" s="22"/>
      <c r="CO18" s="22"/>
      <c r="CP18" s="23">
        <f t="shared" si="9"/>
        <v>0.47724025821592508</v>
      </c>
      <c r="CQ18" s="22">
        <f t="shared" si="10"/>
        <v>25503906</v>
      </c>
      <c r="CR18" s="22">
        <f t="shared" si="14"/>
        <v>0</v>
      </c>
      <c r="CS18" s="22">
        <f t="shared" si="11"/>
        <v>1640880</v>
      </c>
      <c r="CT18" s="22">
        <f t="shared" si="11"/>
        <v>0</v>
      </c>
      <c r="CU18" s="22">
        <f t="shared" si="11"/>
        <v>0</v>
      </c>
      <c r="CV18" s="22">
        <f t="shared" si="11"/>
        <v>0</v>
      </c>
      <c r="CW18" s="22">
        <f t="shared" si="11"/>
        <v>0</v>
      </c>
      <c r="CX18" s="22">
        <f t="shared" si="11"/>
        <v>0</v>
      </c>
      <c r="CY18" s="22">
        <f t="shared" si="11"/>
        <v>0</v>
      </c>
      <c r="CZ18" s="22">
        <f t="shared" si="11"/>
        <v>0</v>
      </c>
      <c r="DA18" s="22">
        <f t="shared" si="11"/>
        <v>0</v>
      </c>
      <c r="DB18" s="22">
        <f t="shared" si="11"/>
        <v>0</v>
      </c>
      <c r="DC18" s="22">
        <f t="shared" si="11"/>
        <v>0</v>
      </c>
      <c r="DD18" s="22">
        <f t="shared" si="11"/>
        <v>0</v>
      </c>
      <c r="DE18" s="22">
        <f t="shared" si="11"/>
        <v>2863026</v>
      </c>
      <c r="DF18" s="22">
        <f t="shared" si="11"/>
        <v>0</v>
      </c>
      <c r="DG18" s="22">
        <f t="shared" si="11"/>
        <v>0</v>
      </c>
      <c r="DH18" s="22">
        <f t="shared" si="11"/>
        <v>0</v>
      </c>
      <c r="DI18" s="22">
        <f t="shared" si="12"/>
        <v>0</v>
      </c>
      <c r="DJ18" s="22">
        <f t="shared" si="12"/>
        <v>0</v>
      </c>
      <c r="DK18" s="22">
        <f t="shared" si="12"/>
        <v>21000000</v>
      </c>
      <c r="DM18" s="26">
        <f t="shared" si="15"/>
        <v>53440391</v>
      </c>
      <c r="DN18" s="26">
        <f>+AC18+AY18</f>
        <v>53440391</v>
      </c>
      <c r="DO18" s="26">
        <f t="shared" si="13"/>
        <v>53440391</v>
      </c>
    </row>
    <row r="19" spans="1:120" ht="48" customHeight="1" x14ac:dyDescent="0.25">
      <c r="A19" s="27"/>
      <c r="B19" s="168" t="s">
        <v>89</v>
      </c>
      <c r="C19" s="30" t="s">
        <v>90</v>
      </c>
      <c r="D19" s="19" t="s">
        <v>91</v>
      </c>
      <c r="E19" s="20">
        <v>510</v>
      </c>
      <c r="F19" s="21"/>
      <c r="G19" s="22">
        <f t="shared" si="0"/>
        <v>6000000</v>
      </c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>
        <v>6000000</v>
      </c>
      <c r="W19" s="22"/>
      <c r="X19" s="22"/>
      <c r="Y19" s="22"/>
      <c r="Z19" s="22"/>
      <c r="AA19" s="22"/>
      <c r="AB19" s="23">
        <f t="shared" si="1"/>
        <v>0</v>
      </c>
      <c r="AC19" s="22">
        <f t="shared" si="2"/>
        <v>0</v>
      </c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3">
        <f t="shared" si="3"/>
        <v>1</v>
      </c>
      <c r="AY19" s="22">
        <f t="shared" si="17"/>
        <v>6000000</v>
      </c>
      <c r="AZ19" s="22">
        <f t="shared" si="5"/>
        <v>0</v>
      </c>
      <c r="BA19" s="22">
        <f t="shared" si="5"/>
        <v>0</v>
      </c>
      <c r="BB19" s="22">
        <f t="shared" si="5"/>
        <v>0</v>
      </c>
      <c r="BC19" s="22">
        <f t="shared" si="5"/>
        <v>0</v>
      </c>
      <c r="BD19" s="22">
        <f t="shared" si="5"/>
        <v>0</v>
      </c>
      <c r="BE19" s="22">
        <f t="shared" si="5"/>
        <v>0</v>
      </c>
      <c r="BF19" s="22">
        <f t="shared" si="5"/>
        <v>0</v>
      </c>
      <c r="BG19" s="22">
        <f t="shared" si="5"/>
        <v>0</v>
      </c>
      <c r="BH19" s="22">
        <f t="shared" si="5"/>
        <v>0</v>
      </c>
      <c r="BI19" s="22">
        <f t="shared" si="5"/>
        <v>0</v>
      </c>
      <c r="BJ19" s="22">
        <f t="shared" si="5"/>
        <v>0</v>
      </c>
      <c r="BK19" s="22">
        <f t="shared" si="5"/>
        <v>0</v>
      </c>
      <c r="BL19" s="22">
        <f t="shared" si="5"/>
        <v>0</v>
      </c>
      <c r="BM19" s="22">
        <f t="shared" si="5"/>
        <v>0</v>
      </c>
      <c r="BN19" s="22">
        <f t="shared" si="5"/>
        <v>6000000</v>
      </c>
      <c r="BO19" s="22">
        <f t="shared" ref="AZ19:BO23" si="18">+W19-AS19</f>
        <v>0</v>
      </c>
      <c r="BP19" s="22">
        <f t="shared" si="6"/>
        <v>0</v>
      </c>
      <c r="BQ19" s="22">
        <f t="shared" si="6"/>
        <v>0</v>
      </c>
      <c r="BR19" s="22">
        <f t="shared" si="6"/>
        <v>0</v>
      </c>
      <c r="BS19" s="22">
        <f t="shared" si="6"/>
        <v>0</v>
      </c>
      <c r="BT19" s="23">
        <f t="shared" si="7"/>
        <v>0</v>
      </c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3">
        <f t="shared" si="9"/>
        <v>1</v>
      </c>
      <c r="CQ19" s="22">
        <f t="shared" si="10"/>
        <v>6000000</v>
      </c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>
        <f t="shared" si="11"/>
        <v>6000000</v>
      </c>
      <c r="DG19" s="22"/>
      <c r="DH19" s="22"/>
      <c r="DI19" s="22"/>
      <c r="DJ19" s="22"/>
      <c r="DK19" s="22"/>
      <c r="DM19" s="26">
        <f t="shared" si="15"/>
        <v>6000000</v>
      </c>
      <c r="DN19" s="26">
        <f t="shared" ref="DN19:DN20" si="19">+AC19+AY19</f>
        <v>6000000</v>
      </c>
      <c r="DO19" s="26">
        <f t="shared" si="13"/>
        <v>6000000</v>
      </c>
      <c r="DP19" s="26"/>
    </row>
    <row r="20" spans="1:120" ht="66.75" customHeight="1" x14ac:dyDescent="0.25">
      <c r="A20" s="27"/>
      <c r="B20" s="169"/>
      <c r="C20" s="30" t="s">
        <v>92</v>
      </c>
      <c r="D20" s="19" t="s">
        <v>93</v>
      </c>
      <c r="E20" s="20">
        <v>510</v>
      </c>
      <c r="F20" s="21"/>
      <c r="G20" s="22">
        <f t="shared" si="0"/>
        <v>2000000</v>
      </c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>
        <v>2000000</v>
      </c>
      <c r="W20" s="22"/>
      <c r="X20" s="22"/>
      <c r="Y20" s="22"/>
      <c r="Z20" s="22"/>
      <c r="AA20" s="22"/>
      <c r="AB20" s="23">
        <f t="shared" si="1"/>
        <v>0</v>
      </c>
      <c r="AC20" s="22">
        <f t="shared" si="2"/>
        <v>0</v>
      </c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3">
        <f t="shared" si="3"/>
        <v>1</v>
      </c>
      <c r="AY20" s="22">
        <f t="shared" si="17"/>
        <v>2000000</v>
      </c>
      <c r="AZ20" s="22">
        <f t="shared" si="18"/>
        <v>0</v>
      </c>
      <c r="BA20" s="22">
        <f t="shared" si="18"/>
        <v>0</v>
      </c>
      <c r="BB20" s="22">
        <f t="shared" si="18"/>
        <v>0</v>
      </c>
      <c r="BC20" s="22">
        <f t="shared" si="18"/>
        <v>0</v>
      </c>
      <c r="BD20" s="22">
        <f t="shared" si="18"/>
        <v>0</v>
      </c>
      <c r="BE20" s="22">
        <f t="shared" si="18"/>
        <v>0</v>
      </c>
      <c r="BF20" s="22">
        <f t="shared" si="18"/>
        <v>0</v>
      </c>
      <c r="BG20" s="22">
        <f t="shared" si="18"/>
        <v>0</v>
      </c>
      <c r="BH20" s="22">
        <f t="shared" si="18"/>
        <v>0</v>
      </c>
      <c r="BI20" s="22">
        <f t="shared" si="18"/>
        <v>0</v>
      </c>
      <c r="BJ20" s="22">
        <f t="shared" si="18"/>
        <v>0</v>
      </c>
      <c r="BK20" s="22">
        <f t="shared" si="18"/>
        <v>0</v>
      </c>
      <c r="BL20" s="22">
        <f t="shared" si="18"/>
        <v>0</v>
      </c>
      <c r="BM20" s="22">
        <f t="shared" si="18"/>
        <v>0</v>
      </c>
      <c r="BN20" s="22">
        <f t="shared" si="18"/>
        <v>2000000</v>
      </c>
      <c r="BO20" s="22">
        <f t="shared" si="18"/>
        <v>0</v>
      </c>
      <c r="BP20" s="22">
        <f t="shared" si="6"/>
        <v>0</v>
      </c>
      <c r="BQ20" s="22">
        <f t="shared" si="6"/>
        <v>0</v>
      </c>
      <c r="BR20" s="22">
        <f t="shared" si="6"/>
        <v>0</v>
      </c>
      <c r="BS20" s="22">
        <f t="shared" si="6"/>
        <v>0</v>
      </c>
      <c r="BT20" s="23">
        <f t="shared" si="7"/>
        <v>0</v>
      </c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3">
        <f t="shared" si="9"/>
        <v>1</v>
      </c>
      <c r="CQ20" s="22">
        <f t="shared" si="10"/>
        <v>2000000</v>
      </c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>
        <f t="shared" si="11"/>
        <v>2000000</v>
      </c>
      <c r="DG20" s="22"/>
      <c r="DH20" s="22"/>
      <c r="DI20" s="22"/>
      <c r="DJ20" s="22"/>
      <c r="DK20" s="22"/>
      <c r="DM20" s="26">
        <f t="shared" si="15"/>
        <v>2000000</v>
      </c>
      <c r="DN20" s="26">
        <f t="shared" si="19"/>
        <v>2000000</v>
      </c>
      <c r="DO20" s="26">
        <f t="shared" si="13"/>
        <v>2000000</v>
      </c>
    </row>
    <row r="21" spans="1:120" ht="36.75" customHeight="1" x14ac:dyDescent="0.25">
      <c r="A21" s="27"/>
      <c r="B21" s="181" t="s">
        <v>94</v>
      </c>
      <c r="C21" s="18" t="s">
        <v>95</v>
      </c>
      <c r="D21" s="19" t="s">
        <v>96</v>
      </c>
      <c r="E21" s="20">
        <v>510</v>
      </c>
      <c r="F21" s="21" t="s">
        <v>56</v>
      </c>
      <c r="G21" s="22">
        <f t="shared" si="0"/>
        <v>12000000</v>
      </c>
      <c r="H21" s="22"/>
      <c r="I21" s="22">
        <v>12000000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3">
        <f t="shared" si="1"/>
        <v>1</v>
      </c>
      <c r="AC21" s="22">
        <f t="shared" si="2"/>
        <v>12000000</v>
      </c>
      <c r="AD21" s="22"/>
      <c r="AE21" s="22">
        <f>+'[2]FEBRERO 2017'!$K$964</f>
        <v>12000000</v>
      </c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3">
        <f t="shared" si="3"/>
        <v>0</v>
      </c>
      <c r="AY21" s="22">
        <f t="shared" si="17"/>
        <v>0</v>
      </c>
      <c r="AZ21" s="22">
        <f t="shared" si="18"/>
        <v>0</v>
      </c>
      <c r="BA21" s="22">
        <f t="shared" si="18"/>
        <v>0</v>
      </c>
      <c r="BB21" s="22">
        <f t="shared" si="18"/>
        <v>0</v>
      </c>
      <c r="BC21" s="22">
        <f t="shared" si="18"/>
        <v>0</v>
      </c>
      <c r="BD21" s="22">
        <f t="shared" si="18"/>
        <v>0</v>
      </c>
      <c r="BE21" s="22">
        <f t="shared" si="18"/>
        <v>0</v>
      </c>
      <c r="BF21" s="22">
        <f t="shared" si="18"/>
        <v>0</v>
      </c>
      <c r="BG21" s="22">
        <f t="shared" si="18"/>
        <v>0</v>
      </c>
      <c r="BH21" s="22">
        <f t="shared" si="18"/>
        <v>0</v>
      </c>
      <c r="BI21" s="22">
        <f t="shared" si="18"/>
        <v>0</v>
      </c>
      <c r="BJ21" s="22">
        <f t="shared" si="18"/>
        <v>0</v>
      </c>
      <c r="BK21" s="22">
        <f t="shared" si="18"/>
        <v>0</v>
      </c>
      <c r="BL21" s="22">
        <f t="shared" si="18"/>
        <v>0</v>
      </c>
      <c r="BM21" s="22">
        <f t="shared" si="18"/>
        <v>0</v>
      </c>
      <c r="BN21" s="22">
        <f t="shared" si="18"/>
        <v>0</v>
      </c>
      <c r="BO21" s="22">
        <f t="shared" si="18"/>
        <v>0</v>
      </c>
      <c r="BP21" s="22">
        <f t="shared" si="6"/>
        <v>0</v>
      </c>
      <c r="BQ21" s="22">
        <f t="shared" si="6"/>
        <v>0</v>
      </c>
      <c r="BR21" s="22">
        <f t="shared" si="6"/>
        <v>0</v>
      </c>
      <c r="BS21" s="22">
        <f t="shared" si="6"/>
        <v>0</v>
      </c>
      <c r="BT21" s="23">
        <f t="shared" si="7"/>
        <v>0.89864883333333334</v>
      </c>
      <c r="BU21" s="22">
        <f t="shared" si="8"/>
        <v>10783786</v>
      </c>
      <c r="BV21" s="22"/>
      <c r="BW21" s="22">
        <f>+'[5]AGOSTO 2017'!$H$2577</f>
        <v>10783786</v>
      </c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3">
        <f t="shared" si="9"/>
        <v>0.10135116666666666</v>
      </c>
      <c r="CQ21" s="22">
        <f t="shared" si="10"/>
        <v>1216214</v>
      </c>
      <c r="CR21" s="22">
        <f t="shared" si="14"/>
        <v>0</v>
      </c>
      <c r="CS21" s="22">
        <f t="shared" si="11"/>
        <v>1216214</v>
      </c>
      <c r="CT21" s="22">
        <f t="shared" si="11"/>
        <v>0</v>
      </c>
      <c r="CU21" s="22">
        <f t="shared" si="11"/>
        <v>0</v>
      </c>
      <c r="CV21" s="22">
        <f t="shared" si="11"/>
        <v>0</v>
      </c>
      <c r="CW21" s="22">
        <f t="shared" si="11"/>
        <v>0</v>
      </c>
      <c r="CX21" s="22">
        <f t="shared" si="11"/>
        <v>0</v>
      </c>
      <c r="CY21" s="22">
        <f t="shared" si="11"/>
        <v>0</v>
      </c>
      <c r="CZ21" s="22">
        <f t="shared" si="11"/>
        <v>0</v>
      </c>
      <c r="DA21" s="22">
        <f t="shared" si="11"/>
        <v>0</v>
      </c>
      <c r="DB21" s="22">
        <f t="shared" si="11"/>
        <v>0</v>
      </c>
      <c r="DC21" s="22">
        <f t="shared" si="11"/>
        <v>0</v>
      </c>
      <c r="DD21" s="22">
        <f t="shared" si="11"/>
        <v>0</v>
      </c>
      <c r="DE21" s="22">
        <f t="shared" si="11"/>
        <v>0</v>
      </c>
      <c r="DF21" s="22">
        <f t="shared" si="11"/>
        <v>0</v>
      </c>
      <c r="DG21" s="22">
        <f t="shared" ref="DG21:DH23" si="20">W21-CK21</f>
        <v>0</v>
      </c>
      <c r="DH21" s="22">
        <f t="shared" si="20"/>
        <v>0</v>
      </c>
      <c r="DI21" s="22">
        <f t="shared" si="12"/>
        <v>0</v>
      </c>
      <c r="DJ21" s="22">
        <f t="shared" si="12"/>
        <v>0</v>
      </c>
      <c r="DK21" s="22">
        <f t="shared" si="12"/>
        <v>0</v>
      </c>
      <c r="DM21" s="26">
        <f t="shared" si="15"/>
        <v>12000000</v>
      </c>
      <c r="DN21" s="26">
        <f>+AC21+AY21</f>
        <v>12000000</v>
      </c>
      <c r="DO21" s="26">
        <f t="shared" si="13"/>
        <v>12000000</v>
      </c>
    </row>
    <row r="22" spans="1:120" ht="42" customHeight="1" x14ac:dyDescent="0.25">
      <c r="A22" s="37"/>
      <c r="B22" s="183"/>
      <c r="C22" s="18" t="s">
        <v>97</v>
      </c>
      <c r="D22" s="19" t="s">
        <v>98</v>
      </c>
      <c r="E22" s="20">
        <v>510</v>
      </c>
      <c r="F22" s="21" t="s">
        <v>99</v>
      </c>
      <c r="G22" s="22">
        <f t="shared" si="0"/>
        <v>76500000</v>
      </c>
      <c r="H22" s="22"/>
      <c r="I22" s="22">
        <v>38000000</v>
      </c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>
        <v>9000000</v>
      </c>
      <c r="V22" s="22"/>
      <c r="W22" s="22"/>
      <c r="X22" s="22"/>
      <c r="Y22" s="22"/>
      <c r="Z22" s="22"/>
      <c r="AA22" s="22">
        <f>26500000+3000000</f>
        <v>29500000</v>
      </c>
      <c r="AB22" s="23">
        <f t="shared" si="1"/>
        <v>0.934640522875817</v>
      </c>
      <c r="AC22" s="22">
        <f t="shared" si="2"/>
        <v>71500000</v>
      </c>
      <c r="AD22" s="22"/>
      <c r="AE22" s="22">
        <f>+'[1]ENERO 2017'!$K$619</f>
        <v>38000000</v>
      </c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>
        <f>+'[3]JUNIO 2017'!$W$1608</f>
        <v>9000000</v>
      </c>
      <c r="AR22" s="22"/>
      <c r="AS22" s="22"/>
      <c r="AT22" s="22"/>
      <c r="AU22" s="22"/>
      <c r="AV22" s="22"/>
      <c r="AW22" s="22">
        <f>+'[1]ENERO 2017'!$T$619</f>
        <v>24500000</v>
      </c>
      <c r="AX22" s="23">
        <f t="shared" si="3"/>
        <v>6.5359477124182996E-2</v>
      </c>
      <c r="AY22" s="22">
        <f t="shared" si="17"/>
        <v>5000000</v>
      </c>
      <c r="AZ22" s="22">
        <f t="shared" si="18"/>
        <v>0</v>
      </c>
      <c r="BA22" s="22">
        <f t="shared" si="18"/>
        <v>0</v>
      </c>
      <c r="BB22" s="22">
        <f t="shared" si="18"/>
        <v>0</v>
      </c>
      <c r="BC22" s="22">
        <f t="shared" si="18"/>
        <v>0</v>
      </c>
      <c r="BD22" s="22">
        <f t="shared" si="18"/>
        <v>0</v>
      </c>
      <c r="BE22" s="22">
        <f t="shared" si="18"/>
        <v>0</v>
      </c>
      <c r="BF22" s="22">
        <f t="shared" si="18"/>
        <v>0</v>
      </c>
      <c r="BG22" s="22">
        <f t="shared" si="18"/>
        <v>0</v>
      </c>
      <c r="BH22" s="22">
        <f t="shared" si="18"/>
        <v>0</v>
      </c>
      <c r="BI22" s="22">
        <f t="shared" si="18"/>
        <v>0</v>
      </c>
      <c r="BJ22" s="22">
        <f t="shared" si="18"/>
        <v>0</v>
      </c>
      <c r="BK22" s="22">
        <f t="shared" si="18"/>
        <v>0</v>
      </c>
      <c r="BL22" s="22">
        <f t="shared" si="18"/>
        <v>0</v>
      </c>
      <c r="BM22" s="22">
        <f t="shared" si="18"/>
        <v>0</v>
      </c>
      <c r="BN22" s="22">
        <f t="shared" si="18"/>
        <v>0</v>
      </c>
      <c r="BO22" s="22">
        <f t="shared" si="18"/>
        <v>0</v>
      </c>
      <c r="BP22" s="22">
        <f t="shared" si="6"/>
        <v>0</v>
      </c>
      <c r="BQ22" s="22">
        <f t="shared" si="6"/>
        <v>0</v>
      </c>
      <c r="BR22" s="22">
        <f t="shared" si="6"/>
        <v>0</v>
      </c>
      <c r="BS22" s="22">
        <f t="shared" si="6"/>
        <v>5000000</v>
      </c>
      <c r="BT22" s="23">
        <f t="shared" si="7"/>
        <v>0.52216762091503266</v>
      </c>
      <c r="BU22" s="22">
        <f t="shared" si="8"/>
        <v>39945823</v>
      </c>
      <c r="BV22" s="22"/>
      <c r="BW22" s="22">
        <f>+'[6]JULIO 2017'!$H$2246</f>
        <v>37945823</v>
      </c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>
        <f>+'[7]FEBRERO 2017'!$H$806</f>
        <v>2000000</v>
      </c>
      <c r="CP22" s="23">
        <f t="shared" si="9"/>
        <v>0.47783237908496734</v>
      </c>
      <c r="CQ22" s="22">
        <f t="shared" si="10"/>
        <v>36554177</v>
      </c>
      <c r="CR22" s="22">
        <f t="shared" si="14"/>
        <v>0</v>
      </c>
      <c r="CS22" s="22">
        <f t="shared" si="14"/>
        <v>54177</v>
      </c>
      <c r="CT22" s="22">
        <f t="shared" si="14"/>
        <v>0</v>
      </c>
      <c r="CU22" s="22">
        <f t="shared" si="14"/>
        <v>0</v>
      </c>
      <c r="CV22" s="22">
        <f t="shared" si="14"/>
        <v>0</v>
      </c>
      <c r="CW22" s="22">
        <f t="shared" si="14"/>
        <v>0</v>
      </c>
      <c r="CX22" s="22">
        <f t="shared" si="14"/>
        <v>0</v>
      </c>
      <c r="CY22" s="22">
        <f t="shared" si="14"/>
        <v>0</v>
      </c>
      <c r="CZ22" s="22">
        <f t="shared" si="14"/>
        <v>0</v>
      </c>
      <c r="DA22" s="22">
        <f t="shared" si="14"/>
        <v>0</v>
      </c>
      <c r="DB22" s="22">
        <f t="shared" si="14"/>
        <v>0</v>
      </c>
      <c r="DC22" s="22">
        <f t="shared" si="14"/>
        <v>0</v>
      </c>
      <c r="DD22" s="22">
        <f t="shared" si="14"/>
        <v>0</v>
      </c>
      <c r="DE22" s="22">
        <f t="shared" si="14"/>
        <v>9000000</v>
      </c>
      <c r="DF22" s="22">
        <f t="shared" si="14"/>
        <v>0</v>
      </c>
      <c r="DG22" s="22">
        <f t="shared" si="14"/>
        <v>0</v>
      </c>
      <c r="DH22" s="22">
        <f t="shared" si="20"/>
        <v>0</v>
      </c>
      <c r="DI22" s="22">
        <f t="shared" si="12"/>
        <v>0</v>
      </c>
      <c r="DJ22" s="22">
        <f t="shared" si="12"/>
        <v>0</v>
      </c>
      <c r="DK22" s="22">
        <f t="shared" si="12"/>
        <v>27500000</v>
      </c>
      <c r="DM22" s="26">
        <f t="shared" si="15"/>
        <v>76500000</v>
      </c>
      <c r="DN22" s="26">
        <f>+AC22+AY22</f>
        <v>76500000</v>
      </c>
      <c r="DO22" s="26">
        <f t="shared" si="13"/>
        <v>76500000</v>
      </c>
    </row>
    <row r="23" spans="1:120" ht="34.5" customHeight="1" x14ac:dyDescent="0.25">
      <c r="A23" s="37"/>
      <c r="B23" s="38"/>
      <c r="C23" s="18" t="s">
        <v>100</v>
      </c>
      <c r="D23" s="39" t="s">
        <v>101</v>
      </c>
      <c r="E23" s="20">
        <v>510</v>
      </c>
      <c r="F23" s="21" t="s">
        <v>56</v>
      </c>
      <c r="G23" s="22">
        <f t="shared" si="0"/>
        <v>20000000</v>
      </c>
      <c r="H23" s="40"/>
      <c r="I23" s="40"/>
      <c r="J23" s="40">
        <v>20000000</v>
      </c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23">
        <f t="shared" si="1"/>
        <v>0.1275085</v>
      </c>
      <c r="AC23" s="22">
        <f t="shared" si="2"/>
        <v>2550170</v>
      </c>
      <c r="AD23" s="40"/>
      <c r="AE23" s="40"/>
      <c r="AF23" s="40">
        <f>+'[7]FEBRERO 2017'!$L$811</f>
        <v>2550170</v>
      </c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23">
        <f t="shared" si="3"/>
        <v>0.87249149999999998</v>
      </c>
      <c r="AY23" s="22">
        <f t="shared" si="17"/>
        <v>17449830</v>
      </c>
      <c r="AZ23" s="22">
        <f t="shared" si="18"/>
        <v>0</v>
      </c>
      <c r="BA23" s="22">
        <f t="shared" si="18"/>
        <v>0</v>
      </c>
      <c r="BB23" s="22">
        <f t="shared" si="18"/>
        <v>17449830</v>
      </c>
      <c r="BC23" s="22">
        <f t="shared" si="18"/>
        <v>0</v>
      </c>
      <c r="BD23" s="22">
        <f t="shared" si="18"/>
        <v>0</v>
      </c>
      <c r="BE23" s="22">
        <f t="shared" si="18"/>
        <v>0</v>
      </c>
      <c r="BF23" s="22">
        <f t="shared" si="18"/>
        <v>0</v>
      </c>
      <c r="BG23" s="22">
        <f t="shared" si="18"/>
        <v>0</v>
      </c>
      <c r="BH23" s="22">
        <f t="shared" si="18"/>
        <v>0</v>
      </c>
      <c r="BI23" s="22">
        <f t="shared" si="18"/>
        <v>0</v>
      </c>
      <c r="BJ23" s="22">
        <f t="shared" si="18"/>
        <v>0</v>
      </c>
      <c r="BK23" s="22">
        <f t="shared" si="18"/>
        <v>0</v>
      </c>
      <c r="BL23" s="22">
        <f t="shared" si="18"/>
        <v>0</v>
      </c>
      <c r="BM23" s="22">
        <f t="shared" si="18"/>
        <v>0</v>
      </c>
      <c r="BN23" s="22">
        <f t="shared" si="18"/>
        <v>0</v>
      </c>
      <c r="BO23" s="22">
        <f t="shared" si="18"/>
        <v>0</v>
      </c>
      <c r="BP23" s="22">
        <f t="shared" si="6"/>
        <v>0</v>
      </c>
      <c r="BQ23" s="22">
        <f t="shared" si="6"/>
        <v>0</v>
      </c>
      <c r="BR23" s="22">
        <f t="shared" si="6"/>
        <v>0</v>
      </c>
      <c r="BS23" s="22">
        <f t="shared" si="6"/>
        <v>0</v>
      </c>
      <c r="BT23" s="23">
        <f t="shared" si="7"/>
        <v>0.1275085</v>
      </c>
      <c r="BU23" s="22">
        <f t="shared" si="8"/>
        <v>2550170</v>
      </c>
      <c r="BV23" s="40"/>
      <c r="BW23" s="40"/>
      <c r="BX23" s="40">
        <f>+'[7]FEBRERO 2017'!$H$809</f>
        <v>2550170</v>
      </c>
      <c r="BY23" s="40"/>
      <c r="BZ23" s="40"/>
      <c r="CA23" s="40"/>
      <c r="CB23" s="40"/>
      <c r="CC23" s="40"/>
      <c r="CD23" s="40"/>
      <c r="CE23" s="40"/>
      <c r="CF23" s="40"/>
      <c r="CG23" s="40"/>
      <c r="CH23" s="40"/>
      <c r="CI23" s="40"/>
      <c r="CJ23" s="40"/>
      <c r="CK23" s="40"/>
      <c r="CL23" s="40"/>
      <c r="CM23" s="40"/>
      <c r="CN23" s="40"/>
      <c r="CO23" s="40"/>
      <c r="CP23" s="23">
        <f t="shared" si="9"/>
        <v>0.87249149999999998</v>
      </c>
      <c r="CQ23" s="22">
        <f t="shared" si="10"/>
        <v>17449830</v>
      </c>
      <c r="CR23" s="22">
        <f t="shared" si="14"/>
        <v>0</v>
      </c>
      <c r="CS23" s="22">
        <f t="shared" si="14"/>
        <v>0</v>
      </c>
      <c r="CT23" s="22">
        <f t="shared" si="14"/>
        <v>17449830</v>
      </c>
      <c r="CU23" s="22">
        <f t="shared" si="14"/>
        <v>0</v>
      </c>
      <c r="CV23" s="22">
        <f t="shared" si="14"/>
        <v>0</v>
      </c>
      <c r="CW23" s="22">
        <f t="shared" si="14"/>
        <v>0</v>
      </c>
      <c r="CX23" s="22">
        <f t="shared" si="14"/>
        <v>0</v>
      </c>
      <c r="CY23" s="22">
        <f t="shared" si="14"/>
        <v>0</v>
      </c>
      <c r="CZ23" s="22">
        <f t="shared" si="14"/>
        <v>0</v>
      </c>
      <c r="DA23" s="22">
        <f t="shared" si="14"/>
        <v>0</v>
      </c>
      <c r="DB23" s="22">
        <f t="shared" si="14"/>
        <v>0</v>
      </c>
      <c r="DC23" s="22">
        <f t="shared" si="14"/>
        <v>0</v>
      </c>
      <c r="DD23" s="22">
        <f t="shared" si="14"/>
        <v>0</v>
      </c>
      <c r="DE23" s="22">
        <f t="shared" si="14"/>
        <v>0</v>
      </c>
      <c r="DF23" s="22">
        <f t="shared" si="14"/>
        <v>0</v>
      </c>
      <c r="DG23" s="22">
        <f t="shared" si="14"/>
        <v>0</v>
      </c>
      <c r="DH23" s="22">
        <f t="shared" si="20"/>
        <v>0</v>
      </c>
      <c r="DI23" s="22">
        <f t="shared" si="12"/>
        <v>0</v>
      </c>
      <c r="DJ23" s="22">
        <f t="shared" si="12"/>
        <v>0</v>
      </c>
      <c r="DK23" s="22">
        <f t="shared" si="12"/>
        <v>0</v>
      </c>
      <c r="DM23" s="26"/>
      <c r="DN23" s="26"/>
      <c r="DO23" s="26"/>
    </row>
    <row r="24" spans="1:120" s="47" customFormat="1" ht="17.25" customHeight="1" thickBot="1" x14ac:dyDescent="0.3">
      <c r="A24" s="41"/>
      <c r="B24" s="185" t="s">
        <v>102</v>
      </c>
      <c r="C24" s="186"/>
      <c r="D24" s="186"/>
      <c r="E24" s="187"/>
      <c r="F24" s="42"/>
      <c r="G24" s="43">
        <f t="shared" ref="G24:AA24" si="21">SUM(G4:G23)</f>
        <v>1816258531</v>
      </c>
      <c r="H24" s="43">
        <f t="shared" si="21"/>
        <v>0</v>
      </c>
      <c r="I24" s="43">
        <f t="shared" si="21"/>
        <v>770000000</v>
      </c>
      <c r="J24" s="43">
        <f t="shared" si="21"/>
        <v>250000000</v>
      </c>
      <c r="K24" s="43">
        <f t="shared" si="21"/>
        <v>258269543</v>
      </c>
      <c r="L24" s="43">
        <f t="shared" si="21"/>
        <v>0</v>
      </c>
      <c r="M24" s="43">
        <f t="shared" si="21"/>
        <v>0</v>
      </c>
      <c r="N24" s="43">
        <f t="shared" si="21"/>
        <v>0</v>
      </c>
      <c r="O24" s="43">
        <f t="shared" si="21"/>
        <v>0</v>
      </c>
      <c r="P24" s="43">
        <f t="shared" si="21"/>
        <v>0</v>
      </c>
      <c r="Q24" s="43">
        <f t="shared" si="21"/>
        <v>0</v>
      </c>
      <c r="R24" s="43">
        <f t="shared" si="21"/>
        <v>0</v>
      </c>
      <c r="S24" s="43">
        <f t="shared" si="21"/>
        <v>0</v>
      </c>
      <c r="T24" s="43">
        <f t="shared" si="21"/>
        <v>0</v>
      </c>
      <c r="U24" s="43">
        <f t="shared" si="21"/>
        <v>278034610</v>
      </c>
      <c r="V24" s="43">
        <f t="shared" si="21"/>
        <v>8000000</v>
      </c>
      <c r="W24" s="43">
        <f t="shared" si="21"/>
        <v>0</v>
      </c>
      <c r="X24" s="43">
        <f t="shared" si="21"/>
        <v>0</v>
      </c>
      <c r="Y24" s="43">
        <f t="shared" si="21"/>
        <v>0</v>
      </c>
      <c r="Z24" s="43">
        <f t="shared" si="21"/>
        <v>0</v>
      </c>
      <c r="AA24" s="43">
        <f t="shared" si="21"/>
        <v>251954378</v>
      </c>
      <c r="AB24" s="44">
        <f t="shared" si="1"/>
        <v>0.85399230920391478</v>
      </c>
      <c r="AC24" s="45">
        <f t="shared" ref="AC24:AW24" si="22">SUM(AC4:AC23)</f>
        <v>1551070817</v>
      </c>
      <c r="AD24" s="45">
        <f t="shared" si="22"/>
        <v>0</v>
      </c>
      <c r="AE24" s="45">
        <f t="shared" si="22"/>
        <v>693958851</v>
      </c>
      <c r="AF24" s="45">
        <f t="shared" si="22"/>
        <v>192366571</v>
      </c>
      <c r="AG24" s="45">
        <f t="shared" si="22"/>
        <v>215532106</v>
      </c>
      <c r="AH24" s="45">
        <f t="shared" si="22"/>
        <v>0</v>
      </c>
      <c r="AI24" s="45">
        <f t="shared" si="22"/>
        <v>0</v>
      </c>
      <c r="AJ24" s="45">
        <f t="shared" si="22"/>
        <v>0</v>
      </c>
      <c r="AK24" s="45">
        <f t="shared" si="22"/>
        <v>0</v>
      </c>
      <c r="AL24" s="45">
        <f t="shared" si="22"/>
        <v>0</v>
      </c>
      <c r="AM24" s="45">
        <f t="shared" si="22"/>
        <v>0</v>
      </c>
      <c r="AN24" s="45">
        <f t="shared" si="22"/>
        <v>0</v>
      </c>
      <c r="AO24" s="45">
        <f t="shared" si="22"/>
        <v>0</v>
      </c>
      <c r="AP24" s="45">
        <f t="shared" si="22"/>
        <v>0</v>
      </c>
      <c r="AQ24" s="45">
        <f t="shared" si="22"/>
        <v>278034610</v>
      </c>
      <c r="AR24" s="45">
        <f t="shared" si="22"/>
        <v>0</v>
      </c>
      <c r="AS24" s="45">
        <f t="shared" si="22"/>
        <v>0</v>
      </c>
      <c r="AT24" s="45">
        <f t="shared" si="22"/>
        <v>0</v>
      </c>
      <c r="AU24" s="45">
        <f t="shared" si="22"/>
        <v>0</v>
      </c>
      <c r="AV24" s="45">
        <f t="shared" si="22"/>
        <v>0</v>
      </c>
      <c r="AW24" s="45">
        <f t="shared" si="22"/>
        <v>171178679</v>
      </c>
      <c r="AX24" s="46">
        <f t="shared" si="3"/>
        <v>0.14600769079608522</v>
      </c>
      <c r="AY24" s="45">
        <f t="shared" ref="AY24:BS24" si="23">SUM(AY4:AY23)</f>
        <v>265187714</v>
      </c>
      <c r="AZ24" s="45">
        <f t="shared" si="23"/>
        <v>0</v>
      </c>
      <c r="BA24" s="45">
        <f t="shared" si="23"/>
        <v>76041149</v>
      </c>
      <c r="BB24" s="45">
        <f t="shared" si="23"/>
        <v>57633429</v>
      </c>
      <c r="BC24" s="45">
        <f>SUM(BC4:BC23)</f>
        <v>42737437</v>
      </c>
      <c r="BD24" s="45">
        <f t="shared" si="23"/>
        <v>0</v>
      </c>
      <c r="BE24" s="45">
        <f t="shared" si="23"/>
        <v>0</v>
      </c>
      <c r="BF24" s="45">
        <f t="shared" si="23"/>
        <v>0</v>
      </c>
      <c r="BG24" s="45">
        <f t="shared" si="23"/>
        <v>0</v>
      </c>
      <c r="BH24" s="45">
        <f t="shared" si="23"/>
        <v>0</v>
      </c>
      <c r="BI24" s="45">
        <f t="shared" si="23"/>
        <v>0</v>
      </c>
      <c r="BJ24" s="45">
        <f t="shared" si="23"/>
        <v>0</v>
      </c>
      <c r="BK24" s="45">
        <f t="shared" si="23"/>
        <v>0</v>
      </c>
      <c r="BL24" s="45">
        <f t="shared" si="23"/>
        <v>0</v>
      </c>
      <c r="BM24" s="45">
        <f t="shared" si="23"/>
        <v>0</v>
      </c>
      <c r="BN24" s="45">
        <f t="shared" si="23"/>
        <v>8000000</v>
      </c>
      <c r="BO24" s="45">
        <f t="shared" si="23"/>
        <v>0</v>
      </c>
      <c r="BP24" s="45">
        <f t="shared" si="23"/>
        <v>0</v>
      </c>
      <c r="BQ24" s="45">
        <f t="shared" si="23"/>
        <v>0</v>
      </c>
      <c r="BR24" s="45">
        <f t="shared" si="23"/>
        <v>0</v>
      </c>
      <c r="BS24" s="45">
        <f t="shared" si="23"/>
        <v>80775699</v>
      </c>
      <c r="BT24" s="46">
        <f t="shared" si="7"/>
        <v>0.59083775777733705</v>
      </c>
      <c r="BU24" s="45">
        <f t="shared" ref="BU24:CO24" si="24">SUM(BU4:BU23)</f>
        <v>1073114118</v>
      </c>
      <c r="BV24" s="45">
        <f t="shared" si="24"/>
        <v>0</v>
      </c>
      <c r="BW24" s="45">
        <f t="shared" si="24"/>
        <v>496962226</v>
      </c>
      <c r="BX24" s="45">
        <f t="shared" si="24"/>
        <v>102837040</v>
      </c>
      <c r="BY24" s="45">
        <f t="shared" si="24"/>
        <v>186040541</v>
      </c>
      <c r="BZ24" s="45">
        <f t="shared" si="24"/>
        <v>0</v>
      </c>
      <c r="CA24" s="45">
        <f t="shared" si="24"/>
        <v>0</v>
      </c>
      <c r="CB24" s="45">
        <f t="shared" si="24"/>
        <v>0</v>
      </c>
      <c r="CC24" s="45">
        <f t="shared" si="24"/>
        <v>0</v>
      </c>
      <c r="CD24" s="45">
        <f t="shared" si="24"/>
        <v>0</v>
      </c>
      <c r="CE24" s="45">
        <f t="shared" si="24"/>
        <v>0</v>
      </c>
      <c r="CF24" s="45">
        <f t="shared" si="24"/>
        <v>0</v>
      </c>
      <c r="CG24" s="45">
        <f t="shared" si="24"/>
        <v>0</v>
      </c>
      <c r="CH24" s="45">
        <f t="shared" si="24"/>
        <v>0</v>
      </c>
      <c r="CI24" s="45">
        <f t="shared" si="24"/>
        <v>183990671</v>
      </c>
      <c r="CJ24" s="45">
        <f t="shared" si="24"/>
        <v>0</v>
      </c>
      <c r="CK24" s="45">
        <f t="shared" si="24"/>
        <v>0</v>
      </c>
      <c r="CL24" s="45">
        <f t="shared" si="24"/>
        <v>0</v>
      </c>
      <c r="CM24" s="45">
        <f t="shared" si="24"/>
        <v>0</v>
      </c>
      <c r="CN24" s="45">
        <f t="shared" si="24"/>
        <v>0</v>
      </c>
      <c r="CO24" s="45">
        <f t="shared" si="24"/>
        <v>103283640</v>
      </c>
      <c r="CP24" s="46">
        <f t="shared" si="9"/>
        <v>0.40916224222266295</v>
      </c>
      <c r="CQ24" s="45">
        <f t="shared" ref="CQ24:DK24" si="25">SUM(CQ4:CQ23)</f>
        <v>743144413</v>
      </c>
      <c r="CR24" s="45">
        <f t="shared" si="25"/>
        <v>0</v>
      </c>
      <c r="CS24" s="45">
        <f t="shared" si="25"/>
        <v>273037774</v>
      </c>
      <c r="CT24" s="45">
        <f t="shared" si="25"/>
        <v>147162960</v>
      </c>
      <c r="CU24" s="45">
        <f t="shared" si="25"/>
        <v>72229002</v>
      </c>
      <c r="CV24" s="45">
        <f t="shared" si="25"/>
        <v>0</v>
      </c>
      <c r="CW24" s="45">
        <f t="shared" si="25"/>
        <v>0</v>
      </c>
      <c r="CX24" s="45">
        <f t="shared" si="25"/>
        <v>0</v>
      </c>
      <c r="CY24" s="45">
        <f t="shared" si="25"/>
        <v>0</v>
      </c>
      <c r="CZ24" s="45">
        <f t="shared" si="25"/>
        <v>0</v>
      </c>
      <c r="DA24" s="45">
        <f t="shared" si="25"/>
        <v>0</v>
      </c>
      <c r="DB24" s="45">
        <f t="shared" si="25"/>
        <v>0</v>
      </c>
      <c r="DC24" s="45">
        <f t="shared" si="25"/>
        <v>0</v>
      </c>
      <c r="DD24" s="45">
        <f t="shared" si="25"/>
        <v>0</v>
      </c>
      <c r="DE24" s="45">
        <f t="shared" si="25"/>
        <v>94043939</v>
      </c>
      <c r="DF24" s="45">
        <f t="shared" si="25"/>
        <v>8000000</v>
      </c>
      <c r="DG24" s="45">
        <f t="shared" si="25"/>
        <v>0</v>
      </c>
      <c r="DH24" s="45">
        <f t="shared" si="25"/>
        <v>0</v>
      </c>
      <c r="DI24" s="45">
        <f t="shared" si="25"/>
        <v>0</v>
      </c>
      <c r="DJ24" s="45">
        <f t="shared" si="25"/>
        <v>0</v>
      </c>
      <c r="DK24" s="45">
        <f t="shared" si="25"/>
        <v>148670738</v>
      </c>
      <c r="DM24" s="26">
        <f t="shared" ref="DM24:DM91" si="26">+G24</f>
        <v>1816258531</v>
      </c>
      <c r="DN24" s="26">
        <f t="shared" ref="DN24:DN91" si="27">+AC24+AY24</f>
        <v>1816258531</v>
      </c>
      <c r="DO24" s="26">
        <f t="shared" ref="DO24:DO91" si="28">+BU24+CQ24</f>
        <v>1816258531</v>
      </c>
    </row>
    <row r="25" spans="1:120" ht="35.25" customHeight="1" thickTop="1" x14ac:dyDescent="0.25">
      <c r="A25" s="17" t="s">
        <v>103</v>
      </c>
      <c r="B25" s="188" t="s">
        <v>104</v>
      </c>
      <c r="C25" s="18" t="s">
        <v>105</v>
      </c>
      <c r="D25" s="19" t="s">
        <v>106</v>
      </c>
      <c r="E25" s="20">
        <v>410</v>
      </c>
      <c r="F25" s="48" t="s">
        <v>107</v>
      </c>
      <c r="G25" s="22">
        <f t="shared" ref="G25:G56" si="29">SUM(H25:AA25)</f>
        <v>150000000</v>
      </c>
      <c r="H25" s="49"/>
      <c r="I25" s="22"/>
      <c r="J25" s="22">
        <v>150000000</v>
      </c>
      <c r="K25" s="22"/>
      <c r="L25" s="22"/>
      <c r="M25" s="49"/>
      <c r="N25" s="49"/>
      <c r="O25" s="50"/>
      <c r="P25" s="50"/>
      <c r="Q25" s="50"/>
      <c r="R25" s="51"/>
      <c r="S25" s="50"/>
      <c r="T25" s="50"/>
      <c r="U25" s="50"/>
      <c r="V25" s="50"/>
      <c r="W25" s="50"/>
      <c r="X25" s="50"/>
      <c r="Y25" s="50"/>
      <c r="Z25" s="50"/>
      <c r="AA25" s="50"/>
      <c r="AB25" s="52">
        <f t="shared" si="1"/>
        <v>0.86546586666666669</v>
      </c>
      <c r="AC25" s="22">
        <f t="shared" ref="AC25:AC56" si="30">SUM(AD25:AW25)</f>
        <v>129819880</v>
      </c>
      <c r="AD25" s="22"/>
      <c r="AE25" s="22"/>
      <c r="AF25" s="22">
        <f>+'[4]MAYO 2017'!$L$566</f>
        <v>129819880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3">
        <f t="shared" si="3"/>
        <v>0.13453413333333331</v>
      </c>
      <c r="AY25" s="22">
        <f t="shared" ref="AY25:AY56" si="31">SUM(AZ25:BS25)</f>
        <v>20180120</v>
      </c>
      <c r="AZ25" s="22">
        <f t="shared" ref="AZ25:BO40" si="32">+H25-AD25</f>
        <v>0</v>
      </c>
      <c r="BA25" s="22">
        <f t="shared" si="32"/>
        <v>0</v>
      </c>
      <c r="BB25" s="22">
        <f t="shared" si="32"/>
        <v>20180120</v>
      </c>
      <c r="BC25" s="22">
        <f t="shared" si="32"/>
        <v>0</v>
      </c>
      <c r="BD25" s="22">
        <f t="shared" si="32"/>
        <v>0</v>
      </c>
      <c r="BE25" s="22">
        <f t="shared" si="32"/>
        <v>0</v>
      </c>
      <c r="BF25" s="22">
        <f t="shared" si="32"/>
        <v>0</v>
      </c>
      <c r="BG25" s="22">
        <f t="shared" si="32"/>
        <v>0</v>
      </c>
      <c r="BH25" s="22">
        <f t="shared" si="32"/>
        <v>0</v>
      </c>
      <c r="BI25" s="22">
        <f t="shared" si="32"/>
        <v>0</v>
      </c>
      <c r="BJ25" s="22">
        <f t="shared" si="32"/>
        <v>0</v>
      </c>
      <c r="BK25" s="22">
        <f t="shared" si="32"/>
        <v>0</v>
      </c>
      <c r="BL25" s="22">
        <f t="shared" si="32"/>
        <v>0</v>
      </c>
      <c r="BM25" s="22">
        <f t="shared" si="32"/>
        <v>0</v>
      </c>
      <c r="BN25" s="22">
        <f t="shared" si="32"/>
        <v>0</v>
      </c>
      <c r="BO25" s="22">
        <f t="shared" si="32"/>
        <v>0</v>
      </c>
      <c r="BP25" s="22">
        <f t="shared" ref="BP25:BS56" si="33">+X25-AT25</f>
        <v>0</v>
      </c>
      <c r="BQ25" s="22">
        <f t="shared" si="33"/>
        <v>0</v>
      </c>
      <c r="BR25" s="22">
        <f t="shared" si="33"/>
        <v>0</v>
      </c>
      <c r="BS25" s="22">
        <f t="shared" si="33"/>
        <v>0</v>
      </c>
      <c r="BT25" s="23">
        <f t="shared" si="7"/>
        <v>0.86546586666666669</v>
      </c>
      <c r="BU25" s="22">
        <f t="shared" ref="BU25:BU56" si="34">SUM(BV25:CO25)</f>
        <v>129819880</v>
      </c>
      <c r="BV25" s="22"/>
      <c r="BW25" s="22"/>
      <c r="BX25" s="22">
        <f>+'[3]JUNIO 2017'!$H$655</f>
        <v>129819880</v>
      </c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3">
        <f t="shared" si="9"/>
        <v>0.13453413333333331</v>
      </c>
      <c r="CQ25" s="22">
        <f t="shared" ref="CQ25:CQ56" si="35">SUM(CR25:DK25)</f>
        <v>20180120</v>
      </c>
      <c r="CR25" s="22">
        <f>H25-BV25</f>
        <v>0</v>
      </c>
      <c r="CS25" s="22">
        <f t="shared" ref="CS25:DH40" si="36">I25-BW25</f>
        <v>0</v>
      </c>
      <c r="CT25" s="22">
        <f t="shared" si="36"/>
        <v>20180120</v>
      </c>
      <c r="CU25" s="22">
        <f t="shared" si="36"/>
        <v>0</v>
      </c>
      <c r="CV25" s="22">
        <f t="shared" si="36"/>
        <v>0</v>
      </c>
      <c r="CW25" s="22">
        <f t="shared" si="36"/>
        <v>0</v>
      </c>
      <c r="CX25" s="22">
        <f t="shared" si="36"/>
        <v>0</v>
      </c>
      <c r="CY25" s="22">
        <f t="shared" si="36"/>
        <v>0</v>
      </c>
      <c r="CZ25" s="22">
        <f t="shared" si="36"/>
        <v>0</v>
      </c>
      <c r="DA25" s="22">
        <f t="shared" si="36"/>
        <v>0</v>
      </c>
      <c r="DB25" s="22">
        <f t="shared" si="36"/>
        <v>0</v>
      </c>
      <c r="DC25" s="22">
        <f t="shared" si="36"/>
        <v>0</v>
      </c>
      <c r="DD25" s="22">
        <f t="shared" si="36"/>
        <v>0</v>
      </c>
      <c r="DE25" s="22">
        <f t="shared" si="36"/>
        <v>0</v>
      </c>
      <c r="DF25" s="22">
        <f t="shared" si="36"/>
        <v>0</v>
      </c>
      <c r="DG25" s="22">
        <f t="shared" si="36"/>
        <v>0</v>
      </c>
      <c r="DH25" s="22">
        <f t="shared" si="36"/>
        <v>0</v>
      </c>
      <c r="DI25" s="22">
        <f t="shared" ref="DI25:DK56" si="37">Y25-CM25</f>
        <v>0</v>
      </c>
      <c r="DJ25" s="22">
        <f t="shared" si="37"/>
        <v>0</v>
      </c>
      <c r="DK25" s="22">
        <f t="shared" si="37"/>
        <v>0</v>
      </c>
      <c r="DM25" s="26">
        <f t="shared" si="26"/>
        <v>150000000</v>
      </c>
      <c r="DN25" s="26">
        <f t="shared" si="27"/>
        <v>150000000</v>
      </c>
      <c r="DO25" s="26">
        <f t="shared" si="28"/>
        <v>150000000</v>
      </c>
    </row>
    <row r="26" spans="1:120" ht="47.25" customHeight="1" x14ac:dyDescent="0.25">
      <c r="A26" s="27"/>
      <c r="B26" s="189"/>
      <c r="C26" s="18" t="s">
        <v>108</v>
      </c>
      <c r="D26" s="19" t="s">
        <v>109</v>
      </c>
      <c r="E26" s="20">
        <v>410</v>
      </c>
      <c r="F26" s="21" t="s">
        <v>107</v>
      </c>
      <c r="G26" s="22">
        <f t="shared" si="29"/>
        <v>350000000</v>
      </c>
      <c r="H26" s="22"/>
      <c r="I26" s="22"/>
      <c r="J26" s="22">
        <v>350000000</v>
      </c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3">
        <f t="shared" si="1"/>
        <v>1</v>
      </c>
      <c r="AC26" s="22">
        <f t="shared" si="30"/>
        <v>350000000</v>
      </c>
      <c r="AD26" s="22"/>
      <c r="AE26" s="22"/>
      <c r="AF26" s="22">
        <f>+'[3]JUNIO 2017'!$L$667</f>
        <v>350000000</v>
      </c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3">
        <f t="shared" si="3"/>
        <v>0</v>
      </c>
      <c r="AY26" s="22">
        <f t="shared" si="31"/>
        <v>0</v>
      </c>
      <c r="AZ26" s="22">
        <f t="shared" si="32"/>
        <v>0</v>
      </c>
      <c r="BA26" s="22">
        <f t="shared" si="32"/>
        <v>0</v>
      </c>
      <c r="BB26" s="22">
        <f t="shared" si="32"/>
        <v>0</v>
      </c>
      <c r="BC26" s="22">
        <f t="shared" si="32"/>
        <v>0</v>
      </c>
      <c r="BD26" s="22">
        <f t="shared" si="32"/>
        <v>0</v>
      </c>
      <c r="BE26" s="22">
        <f t="shared" si="32"/>
        <v>0</v>
      </c>
      <c r="BF26" s="22">
        <f t="shared" si="32"/>
        <v>0</v>
      </c>
      <c r="BG26" s="22">
        <f t="shared" si="32"/>
        <v>0</v>
      </c>
      <c r="BH26" s="22">
        <f t="shared" si="32"/>
        <v>0</v>
      </c>
      <c r="BI26" s="22">
        <f t="shared" si="32"/>
        <v>0</v>
      </c>
      <c r="BJ26" s="22">
        <f t="shared" si="32"/>
        <v>0</v>
      </c>
      <c r="BK26" s="22">
        <f t="shared" si="32"/>
        <v>0</v>
      </c>
      <c r="BL26" s="22">
        <f t="shared" si="32"/>
        <v>0</v>
      </c>
      <c r="BM26" s="22">
        <f t="shared" si="32"/>
        <v>0</v>
      </c>
      <c r="BN26" s="22">
        <f t="shared" si="32"/>
        <v>0</v>
      </c>
      <c r="BO26" s="22">
        <f t="shared" si="32"/>
        <v>0</v>
      </c>
      <c r="BP26" s="22">
        <f t="shared" si="33"/>
        <v>0</v>
      </c>
      <c r="BQ26" s="22">
        <f t="shared" si="33"/>
        <v>0</v>
      </c>
      <c r="BR26" s="22">
        <f t="shared" si="33"/>
        <v>0</v>
      </c>
      <c r="BS26" s="22">
        <f t="shared" si="33"/>
        <v>0</v>
      </c>
      <c r="BT26" s="23">
        <f t="shared" si="7"/>
        <v>0.25265475142857141</v>
      </c>
      <c r="BU26" s="22">
        <f t="shared" si="34"/>
        <v>88429163</v>
      </c>
      <c r="BV26" s="22"/>
      <c r="BW26" s="22"/>
      <c r="BX26" s="22">
        <f>+'[4]MAYO 2017'!$H$575</f>
        <v>88429163</v>
      </c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3">
        <f t="shared" si="9"/>
        <v>0.74734524857142859</v>
      </c>
      <c r="CQ26" s="22">
        <f t="shared" si="35"/>
        <v>261570837</v>
      </c>
      <c r="CR26" s="22">
        <f t="shared" ref="CR26:DG56" si="38">H26-BV26</f>
        <v>0</v>
      </c>
      <c r="CS26" s="22">
        <f t="shared" si="36"/>
        <v>0</v>
      </c>
      <c r="CT26" s="22">
        <f t="shared" si="36"/>
        <v>261570837</v>
      </c>
      <c r="CU26" s="22">
        <f t="shared" si="36"/>
        <v>0</v>
      </c>
      <c r="CV26" s="22">
        <f t="shared" si="36"/>
        <v>0</v>
      </c>
      <c r="CW26" s="22">
        <f t="shared" si="36"/>
        <v>0</v>
      </c>
      <c r="CX26" s="22">
        <f t="shared" si="36"/>
        <v>0</v>
      </c>
      <c r="CY26" s="22">
        <f t="shared" si="36"/>
        <v>0</v>
      </c>
      <c r="CZ26" s="22">
        <f t="shared" si="36"/>
        <v>0</v>
      </c>
      <c r="DA26" s="22">
        <f t="shared" si="36"/>
        <v>0</v>
      </c>
      <c r="DB26" s="22">
        <f t="shared" si="36"/>
        <v>0</v>
      </c>
      <c r="DC26" s="22">
        <f t="shared" si="36"/>
        <v>0</v>
      </c>
      <c r="DD26" s="22">
        <f t="shared" si="36"/>
        <v>0</v>
      </c>
      <c r="DE26" s="22">
        <f t="shared" si="36"/>
        <v>0</v>
      </c>
      <c r="DF26" s="22">
        <f t="shared" si="36"/>
        <v>0</v>
      </c>
      <c r="DG26" s="22">
        <f t="shared" si="36"/>
        <v>0</v>
      </c>
      <c r="DH26" s="22">
        <f t="shared" si="36"/>
        <v>0</v>
      </c>
      <c r="DI26" s="22">
        <f t="shared" si="37"/>
        <v>0</v>
      </c>
      <c r="DJ26" s="22">
        <f t="shared" si="37"/>
        <v>0</v>
      </c>
      <c r="DK26" s="22">
        <f t="shared" si="37"/>
        <v>0</v>
      </c>
      <c r="DM26" s="26">
        <f t="shared" si="26"/>
        <v>350000000</v>
      </c>
      <c r="DN26" s="26">
        <f t="shared" si="27"/>
        <v>350000000</v>
      </c>
      <c r="DO26" s="26">
        <f t="shared" si="28"/>
        <v>350000000</v>
      </c>
    </row>
    <row r="27" spans="1:120" ht="33.75" customHeight="1" x14ac:dyDescent="0.25">
      <c r="A27" s="27"/>
      <c r="B27" s="190"/>
      <c r="C27" s="53" t="s">
        <v>110</v>
      </c>
      <c r="D27" s="31" t="s">
        <v>111</v>
      </c>
      <c r="E27" s="54">
        <v>410</v>
      </c>
      <c r="F27" s="55" t="s">
        <v>112</v>
      </c>
      <c r="G27" s="22">
        <f t="shared" si="29"/>
        <v>1418000000</v>
      </c>
      <c r="H27" s="22"/>
      <c r="I27" s="22"/>
      <c r="J27" s="22">
        <v>1400000000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>
        <v>18000000</v>
      </c>
      <c r="AB27" s="23">
        <f t="shared" si="1"/>
        <v>0.9966194097320169</v>
      </c>
      <c r="AC27" s="22">
        <f t="shared" si="30"/>
        <v>1413206323</v>
      </c>
      <c r="AD27" s="22"/>
      <c r="AE27" s="22"/>
      <c r="AF27" s="22">
        <f>+'[6]JULIO 2017'!$L$858</f>
        <v>1400000000</v>
      </c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>
        <f>+'[5]AGOSTO 2017'!$AC$1020</f>
        <v>13206323</v>
      </c>
      <c r="AX27" s="23">
        <f t="shared" si="3"/>
        <v>3.3805902679830968E-3</v>
      </c>
      <c r="AY27" s="22">
        <f t="shared" si="31"/>
        <v>4793677</v>
      </c>
      <c r="AZ27" s="22">
        <f t="shared" si="32"/>
        <v>0</v>
      </c>
      <c r="BA27" s="22">
        <f t="shared" si="32"/>
        <v>0</v>
      </c>
      <c r="BB27" s="22">
        <f t="shared" si="32"/>
        <v>0</v>
      </c>
      <c r="BC27" s="22">
        <f t="shared" si="32"/>
        <v>0</v>
      </c>
      <c r="BD27" s="22">
        <f t="shared" si="32"/>
        <v>0</v>
      </c>
      <c r="BE27" s="22">
        <f t="shared" si="32"/>
        <v>0</v>
      </c>
      <c r="BF27" s="22">
        <f t="shared" si="32"/>
        <v>0</v>
      </c>
      <c r="BG27" s="22">
        <f t="shared" si="32"/>
        <v>0</v>
      </c>
      <c r="BH27" s="22">
        <f t="shared" si="32"/>
        <v>0</v>
      </c>
      <c r="BI27" s="22">
        <f t="shared" si="32"/>
        <v>0</v>
      </c>
      <c r="BJ27" s="22">
        <f t="shared" si="32"/>
        <v>0</v>
      </c>
      <c r="BK27" s="22">
        <f t="shared" si="32"/>
        <v>0</v>
      </c>
      <c r="BL27" s="22">
        <f t="shared" si="32"/>
        <v>0</v>
      </c>
      <c r="BM27" s="22">
        <f t="shared" si="32"/>
        <v>0</v>
      </c>
      <c r="BN27" s="22">
        <f t="shared" si="32"/>
        <v>0</v>
      </c>
      <c r="BO27" s="22">
        <f t="shared" si="32"/>
        <v>0</v>
      </c>
      <c r="BP27" s="22">
        <f t="shared" si="33"/>
        <v>0</v>
      </c>
      <c r="BQ27" s="22">
        <f t="shared" si="33"/>
        <v>0</v>
      </c>
      <c r="BR27" s="22">
        <f t="shared" si="33"/>
        <v>0</v>
      </c>
      <c r="BS27" s="22">
        <f t="shared" si="33"/>
        <v>4793677</v>
      </c>
      <c r="BT27" s="23">
        <f t="shared" si="7"/>
        <v>0.83529748871650211</v>
      </c>
      <c r="BU27" s="22">
        <f t="shared" si="34"/>
        <v>1184451839</v>
      </c>
      <c r="BV27" s="22"/>
      <c r="BW27" s="22"/>
      <c r="BX27" s="22">
        <f>+'[5]AGOSTO 2017'!$H$1021+'[5]AGOSTO 2017'!$H$1035+'[5]AGOSTO 2017'!$H$1058+'[5]AGOSTO 2017'!$H$1062+'[5]AGOSTO 2017'!$H$1069+'[5]AGOSTO 2017'!$H$1072+'[5]AGOSTO 2017'!$H$1079</f>
        <v>1171245516</v>
      </c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>
        <f>+'[5]AGOSTO 2017'!$H$1018-BX27</f>
        <v>13206323</v>
      </c>
      <c r="CP27" s="23">
        <f t="shared" si="9"/>
        <v>0.16470251128349789</v>
      </c>
      <c r="CQ27" s="22">
        <f t="shared" si="35"/>
        <v>233548161</v>
      </c>
      <c r="CR27" s="22">
        <f t="shared" si="38"/>
        <v>0</v>
      </c>
      <c r="CS27" s="22">
        <f t="shared" si="36"/>
        <v>0</v>
      </c>
      <c r="CT27" s="22">
        <f t="shared" si="36"/>
        <v>228754484</v>
      </c>
      <c r="CU27" s="22">
        <f t="shared" si="36"/>
        <v>0</v>
      </c>
      <c r="CV27" s="22">
        <f t="shared" si="36"/>
        <v>0</v>
      </c>
      <c r="CW27" s="22">
        <f t="shared" si="36"/>
        <v>0</v>
      </c>
      <c r="CX27" s="22">
        <f t="shared" si="36"/>
        <v>0</v>
      </c>
      <c r="CY27" s="22">
        <f t="shared" si="36"/>
        <v>0</v>
      </c>
      <c r="CZ27" s="22">
        <f t="shared" si="36"/>
        <v>0</v>
      </c>
      <c r="DA27" s="22">
        <f t="shared" si="36"/>
        <v>0</v>
      </c>
      <c r="DB27" s="22">
        <f t="shared" si="36"/>
        <v>0</v>
      </c>
      <c r="DC27" s="22">
        <f t="shared" si="36"/>
        <v>0</v>
      </c>
      <c r="DD27" s="22">
        <f t="shared" si="36"/>
        <v>0</v>
      </c>
      <c r="DE27" s="22">
        <f t="shared" si="36"/>
        <v>0</v>
      </c>
      <c r="DF27" s="22">
        <f t="shared" si="36"/>
        <v>0</v>
      </c>
      <c r="DG27" s="22">
        <f t="shared" si="36"/>
        <v>0</v>
      </c>
      <c r="DH27" s="22">
        <f t="shared" si="36"/>
        <v>0</v>
      </c>
      <c r="DI27" s="22">
        <f t="shared" si="37"/>
        <v>0</v>
      </c>
      <c r="DJ27" s="22">
        <f t="shared" si="37"/>
        <v>0</v>
      </c>
      <c r="DK27" s="22">
        <f t="shared" si="37"/>
        <v>4793677</v>
      </c>
      <c r="DM27" s="26">
        <f t="shared" si="26"/>
        <v>1418000000</v>
      </c>
      <c r="DN27" s="26">
        <f t="shared" si="27"/>
        <v>1418000000</v>
      </c>
      <c r="DO27" s="26">
        <f t="shared" si="28"/>
        <v>1418000000</v>
      </c>
    </row>
    <row r="28" spans="1:120" ht="36.75" customHeight="1" x14ac:dyDescent="0.25">
      <c r="A28" s="27"/>
      <c r="B28" s="56"/>
      <c r="C28" s="18" t="s">
        <v>113</v>
      </c>
      <c r="D28" s="19" t="s">
        <v>114</v>
      </c>
      <c r="E28" s="20">
        <v>410</v>
      </c>
      <c r="F28" s="21" t="s">
        <v>107</v>
      </c>
      <c r="G28" s="22">
        <f t="shared" si="29"/>
        <v>15000000</v>
      </c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>
        <v>15000000</v>
      </c>
      <c r="W28" s="22"/>
      <c r="X28" s="22"/>
      <c r="Y28" s="22"/>
      <c r="Z28" s="22"/>
      <c r="AA28" s="22"/>
      <c r="AB28" s="23">
        <f t="shared" si="1"/>
        <v>1</v>
      </c>
      <c r="AC28" s="22">
        <f t="shared" si="30"/>
        <v>15000000</v>
      </c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>
        <f>+'[6]JULIO 2017'!$X$916</f>
        <v>15000000</v>
      </c>
      <c r="AS28" s="22"/>
      <c r="AT28" s="22"/>
      <c r="AU28" s="22"/>
      <c r="AV28" s="22"/>
      <c r="AW28" s="22"/>
      <c r="AX28" s="23">
        <f t="shared" si="3"/>
        <v>0</v>
      </c>
      <c r="AY28" s="22">
        <f t="shared" si="31"/>
        <v>0</v>
      </c>
      <c r="AZ28" s="22">
        <f t="shared" si="32"/>
        <v>0</v>
      </c>
      <c r="BA28" s="22">
        <f t="shared" si="32"/>
        <v>0</v>
      </c>
      <c r="BB28" s="22">
        <f t="shared" si="32"/>
        <v>0</v>
      </c>
      <c r="BC28" s="22">
        <f t="shared" si="32"/>
        <v>0</v>
      </c>
      <c r="BD28" s="22">
        <f t="shared" si="32"/>
        <v>0</v>
      </c>
      <c r="BE28" s="22">
        <f t="shared" si="32"/>
        <v>0</v>
      </c>
      <c r="BF28" s="22">
        <f t="shared" si="32"/>
        <v>0</v>
      </c>
      <c r="BG28" s="22">
        <f t="shared" si="32"/>
        <v>0</v>
      </c>
      <c r="BH28" s="22">
        <f t="shared" si="32"/>
        <v>0</v>
      </c>
      <c r="BI28" s="22">
        <f t="shared" si="32"/>
        <v>0</v>
      </c>
      <c r="BJ28" s="22">
        <f t="shared" si="32"/>
        <v>0</v>
      </c>
      <c r="BK28" s="22">
        <f t="shared" si="32"/>
        <v>0</v>
      </c>
      <c r="BL28" s="22">
        <f t="shared" si="32"/>
        <v>0</v>
      </c>
      <c r="BM28" s="22">
        <f t="shared" si="32"/>
        <v>0</v>
      </c>
      <c r="BN28" s="22">
        <f t="shared" si="32"/>
        <v>0</v>
      </c>
      <c r="BO28" s="22">
        <f t="shared" si="32"/>
        <v>0</v>
      </c>
      <c r="BP28" s="22">
        <f t="shared" si="33"/>
        <v>0</v>
      </c>
      <c r="BQ28" s="22">
        <f t="shared" si="33"/>
        <v>0</v>
      </c>
      <c r="BR28" s="22">
        <f t="shared" si="33"/>
        <v>0</v>
      </c>
      <c r="BS28" s="22">
        <f t="shared" si="33"/>
        <v>0</v>
      </c>
      <c r="BT28" s="23">
        <f t="shared" si="7"/>
        <v>1</v>
      </c>
      <c r="BU28" s="22">
        <f t="shared" si="34"/>
        <v>15000000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>
        <f>+'[6]JULIO 2017'!$X$916</f>
        <v>15000000</v>
      </c>
      <c r="CK28" s="22"/>
      <c r="CL28" s="22"/>
      <c r="CM28" s="22"/>
      <c r="CN28" s="22"/>
      <c r="CO28" s="22"/>
      <c r="CP28" s="23">
        <f t="shared" si="9"/>
        <v>0</v>
      </c>
      <c r="CQ28" s="22">
        <f t="shared" si="35"/>
        <v>0</v>
      </c>
      <c r="CR28" s="22">
        <f t="shared" si="38"/>
        <v>0</v>
      </c>
      <c r="CS28" s="22">
        <f t="shared" si="36"/>
        <v>0</v>
      </c>
      <c r="CT28" s="22">
        <f t="shared" si="36"/>
        <v>0</v>
      </c>
      <c r="CU28" s="22">
        <f t="shared" si="36"/>
        <v>0</v>
      </c>
      <c r="CV28" s="22">
        <f t="shared" si="36"/>
        <v>0</v>
      </c>
      <c r="CW28" s="22">
        <f t="shared" si="36"/>
        <v>0</v>
      </c>
      <c r="CX28" s="22">
        <f t="shared" si="36"/>
        <v>0</v>
      </c>
      <c r="CY28" s="22">
        <f t="shared" si="36"/>
        <v>0</v>
      </c>
      <c r="CZ28" s="22">
        <f t="shared" si="36"/>
        <v>0</v>
      </c>
      <c r="DA28" s="22">
        <f t="shared" si="36"/>
        <v>0</v>
      </c>
      <c r="DB28" s="22">
        <f t="shared" si="36"/>
        <v>0</v>
      </c>
      <c r="DC28" s="22">
        <f t="shared" si="36"/>
        <v>0</v>
      </c>
      <c r="DD28" s="22">
        <f t="shared" si="36"/>
        <v>0</v>
      </c>
      <c r="DE28" s="22">
        <f t="shared" si="36"/>
        <v>0</v>
      </c>
      <c r="DF28" s="22">
        <f t="shared" si="36"/>
        <v>0</v>
      </c>
      <c r="DG28" s="22">
        <f t="shared" si="36"/>
        <v>0</v>
      </c>
      <c r="DH28" s="22">
        <f t="shared" si="36"/>
        <v>0</v>
      </c>
      <c r="DI28" s="22">
        <f t="shared" si="37"/>
        <v>0</v>
      </c>
      <c r="DJ28" s="22">
        <f t="shared" si="37"/>
        <v>0</v>
      </c>
      <c r="DK28" s="22">
        <f t="shared" si="37"/>
        <v>0</v>
      </c>
      <c r="DM28" s="26">
        <f t="shared" si="26"/>
        <v>15000000</v>
      </c>
      <c r="DN28" s="26">
        <f t="shared" si="27"/>
        <v>15000000</v>
      </c>
      <c r="DO28" s="26">
        <f t="shared" si="28"/>
        <v>15000000</v>
      </c>
    </row>
    <row r="29" spans="1:120" ht="38.25" customHeight="1" x14ac:dyDescent="0.25">
      <c r="A29" s="27"/>
      <c r="B29" s="56"/>
      <c r="C29" s="18" t="s">
        <v>115</v>
      </c>
      <c r="D29" s="19" t="s">
        <v>116</v>
      </c>
      <c r="E29" s="20">
        <v>410</v>
      </c>
      <c r="F29" s="21" t="s">
        <v>107</v>
      </c>
      <c r="G29" s="22">
        <f t="shared" si="29"/>
        <v>440305826</v>
      </c>
      <c r="H29" s="22"/>
      <c r="I29" s="22"/>
      <c r="J29" s="22">
        <v>150000000</v>
      </c>
      <c r="K29" s="22">
        <v>107030068</v>
      </c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>
        <v>183275758</v>
      </c>
      <c r="W29" s="22"/>
      <c r="X29" s="22"/>
      <c r="Y29" s="22"/>
      <c r="Z29" s="22"/>
      <c r="AA29" s="22"/>
      <c r="AB29" s="23">
        <f t="shared" si="1"/>
        <v>0.50333326500203979</v>
      </c>
      <c r="AC29" s="22">
        <f t="shared" si="30"/>
        <v>221620569</v>
      </c>
      <c r="AD29" s="22"/>
      <c r="AE29" s="22"/>
      <c r="AF29" s="22"/>
      <c r="AG29" s="22">
        <v>82569198</v>
      </c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>
        <f>+'[5]AGOSTO 2017'!$X$1108</f>
        <v>139051371</v>
      </c>
      <c r="AS29" s="22"/>
      <c r="AT29" s="22"/>
      <c r="AU29" s="22"/>
      <c r="AV29" s="22"/>
      <c r="AW29" s="22"/>
      <c r="AX29" s="23">
        <f t="shared" si="3"/>
        <v>0.49666673499796021</v>
      </c>
      <c r="AY29" s="22">
        <f t="shared" si="31"/>
        <v>218685257</v>
      </c>
      <c r="AZ29" s="22">
        <f t="shared" si="32"/>
        <v>0</v>
      </c>
      <c r="BA29" s="22">
        <f t="shared" si="32"/>
        <v>0</v>
      </c>
      <c r="BB29" s="22">
        <f t="shared" si="32"/>
        <v>150000000</v>
      </c>
      <c r="BC29" s="22">
        <f t="shared" si="32"/>
        <v>24460870</v>
      </c>
      <c r="BD29" s="22">
        <f t="shared" si="32"/>
        <v>0</v>
      </c>
      <c r="BE29" s="22">
        <f t="shared" si="32"/>
        <v>0</v>
      </c>
      <c r="BF29" s="22">
        <f t="shared" si="32"/>
        <v>0</v>
      </c>
      <c r="BG29" s="22">
        <f t="shared" si="32"/>
        <v>0</v>
      </c>
      <c r="BH29" s="22">
        <f t="shared" si="32"/>
        <v>0</v>
      </c>
      <c r="BI29" s="22">
        <f t="shared" si="32"/>
        <v>0</v>
      </c>
      <c r="BJ29" s="22">
        <f t="shared" si="32"/>
        <v>0</v>
      </c>
      <c r="BK29" s="22">
        <f t="shared" si="32"/>
        <v>0</v>
      </c>
      <c r="BL29" s="22">
        <f t="shared" si="32"/>
        <v>0</v>
      </c>
      <c r="BM29" s="22">
        <f t="shared" si="32"/>
        <v>0</v>
      </c>
      <c r="BN29" s="22">
        <f t="shared" si="32"/>
        <v>44224387</v>
      </c>
      <c r="BO29" s="22">
        <f t="shared" si="32"/>
        <v>0</v>
      </c>
      <c r="BP29" s="22">
        <f t="shared" si="33"/>
        <v>0</v>
      </c>
      <c r="BQ29" s="22">
        <f t="shared" si="33"/>
        <v>0</v>
      </c>
      <c r="BR29" s="22">
        <f t="shared" si="33"/>
        <v>0</v>
      </c>
      <c r="BS29" s="22">
        <f t="shared" si="33"/>
        <v>0</v>
      </c>
      <c r="BT29" s="23">
        <f t="shared" si="7"/>
        <v>0.45965893033629768</v>
      </c>
      <c r="BU29" s="22">
        <f t="shared" si="34"/>
        <v>202390505</v>
      </c>
      <c r="BV29" s="22"/>
      <c r="BW29" s="22"/>
      <c r="BX29" s="22"/>
      <c r="BY29" s="22">
        <v>82569198</v>
      </c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>
        <f>+'[5]AGOSTO 2017'!$H$1106-BY29</f>
        <v>119821307</v>
      </c>
      <c r="CK29" s="22"/>
      <c r="CL29" s="22"/>
      <c r="CM29" s="22"/>
      <c r="CN29" s="22"/>
      <c r="CO29" s="22"/>
      <c r="CP29" s="23">
        <f t="shared" si="9"/>
        <v>0.54034106966370232</v>
      </c>
      <c r="CQ29" s="22">
        <f t="shared" si="35"/>
        <v>237915321</v>
      </c>
      <c r="CR29" s="22">
        <f t="shared" si="38"/>
        <v>0</v>
      </c>
      <c r="CS29" s="22">
        <f t="shared" si="36"/>
        <v>0</v>
      </c>
      <c r="CT29" s="22">
        <f t="shared" si="36"/>
        <v>150000000</v>
      </c>
      <c r="CU29" s="22">
        <f t="shared" si="36"/>
        <v>24460870</v>
      </c>
      <c r="CV29" s="22">
        <f t="shared" si="36"/>
        <v>0</v>
      </c>
      <c r="CW29" s="22">
        <f t="shared" si="36"/>
        <v>0</v>
      </c>
      <c r="CX29" s="22">
        <f t="shared" si="36"/>
        <v>0</v>
      </c>
      <c r="CY29" s="22">
        <f t="shared" si="36"/>
        <v>0</v>
      </c>
      <c r="CZ29" s="22">
        <f t="shared" si="36"/>
        <v>0</v>
      </c>
      <c r="DA29" s="22">
        <f t="shared" si="36"/>
        <v>0</v>
      </c>
      <c r="DB29" s="22">
        <f t="shared" si="36"/>
        <v>0</v>
      </c>
      <c r="DC29" s="22">
        <f t="shared" si="36"/>
        <v>0</v>
      </c>
      <c r="DD29" s="22">
        <f t="shared" si="36"/>
        <v>0</v>
      </c>
      <c r="DE29" s="22">
        <f t="shared" si="36"/>
        <v>0</v>
      </c>
      <c r="DF29" s="22">
        <f t="shared" si="36"/>
        <v>63454451</v>
      </c>
      <c r="DG29" s="22">
        <f t="shared" si="36"/>
        <v>0</v>
      </c>
      <c r="DH29" s="22">
        <f t="shared" si="36"/>
        <v>0</v>
      </c>
      <c r="DI29" s="22">
        <f t="shared" si="37"/>
        <v>0</v>
      </c>
      <c r="DJ29" s="22">
        <f t="shared" si="37"/>
        <v>0</v>
      </c>
      <c r="DK29" s="22">
        <f t="shared" si="37"/>
        <v>0</v>
      </c>
      <c r="DM29" s="26">
        <f t="shared" si="26"/>
        <v>440305826</v>
      </c>
      <c r="DN29" s="26">
        <f t="shared" si="27"/>
        <v>440305826</v>
      </c>
      <c r="DO29" s="26">
        <f t="shared" si="28"/>
        <v>440305826</v>
      </c>
    </row>
    <row r="30" spans="1:120" ht="36" customHeight="1" x14ac:dyDescent="0.25">
      <c r="A30" s="27"/>
      <c r="B30" s="191" t="s">
        <v>117</v>
      </c>
      <c r="C30" s="30" t="s">
        <v>118</v>
      </c>
      <c r="D30" s="19" t="s">
        <v>119</v>
      </c>
      <c r="E30" s="20">
        <v>410</v>
      </c>
      <c r="F30" s="21" t="s">
        <v>107</v>
      </c>
      <c r="G30" s="22">
        <f t="shared" si="29"/>
        <v>5000000</v>
      </c>
      <c r="H30" s="22"/>
      <c r="I30" s="22">
        <v>5000000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3">
        <f t="shared" si="1"/>
        <v>0</v>
      </c>
      <c r="AC30" s="22">
        <f t="shared" si="30"/>
        <v>0</v>
      </c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3">
        <f t="shared" si="3"/>
        <v>1</v>
      </c>
      <c r="AY30" s="22">
        <f t="shared" si="31"/>
        <v>5000000</v>
      </c>
      <c r="AZ30" s="22">
        <f t="shared" si="32"/>
        <v>0</v>
      </c>
      <c r="BA30" s="22">
        <f t="shared" si="32"/>
        <v>5000000</v>
      </c>
      <c r="BB30" s="22">
        <f t="shared" si="32"/>
        <v>0</v>
      </c>
      <c r="BC30" s="22">
        <f t="shared" si="32"/>
        <v>0</v>
      </c>
      <c r="BD30" s="22">
        <f t="shared" si="32"/>
        <v>0</v>
      </c>
      <c r="BE30" s="22">
        <f t="shared" si="32"/>
        <v>0</v>
      </c>
      <c r="BF30" s="22">
        <f t="shared" si="32"/>
        <v>0</v>
      </c>
      <c r="BG30" s="22">
        <f t="shared" si="32"/>
        <v>0</v>
      </c>
      <c r="BH30" s="22">
        <f t="shared" si="32"/>
        <v>0</v>
      </c>
      <c r="BI30" s="22">
        <f t="shared" si="32"/>
        <v>0</v>
      </c>
      <c r="BJ30" s="22">
        <f t="shared" si="32"/>
        <v>0</v>
      </c>
      <c r="BK30" s="22">
        <f t="shared" si="32"/>
        <v>0</v>
      </c>
      <c r="BL30" s="22">
        <f t="shared" si="32"/>
        <v>0</v>
      </c>
      <c r="BM30" s="22">
        <f t="shared" si="32"/>
        <v>0</v>
      </c>
      <c r="BN30" s="22">
        <f t="shared" si="32"/>
        <v>0</v>
      </c>
      <c r="BO30" s="22">
        <f t="shared" si="32"/>
        <v>0</v>
      </c>
      <c r="BP30" s="22">
        <f t="shared" si="33"/>
        <v>0</v>
      </c>
      <c r="BQ30" s="22">
        <f t="shared" si="33"/>
        <v>0</v>
      </c>
      <c r="BR30" s="22">
        <f t="shared" si="33"/>
        <v>0</v>
      </c>
      <c r="BS30" s="22">
        <f t="shared" si="33"/>
        <v>0</v>
      </c>
      <c r="BT30" s="23">
        <f t="shared" si="7"/>
        <v>0</v>
      </c>
      <c r="BU30" s="22">
        <f t="shared" si="34"/>
        <v>0</v>
      </c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3">
        <f t="shared" si="9"/>
        <v>1</v>
      </c>
      <c r="CQ30" s="22">
        <f t="shared" si="35"/>
        <v>5000000</v>
      </c>
      <c r="CR30" s="22">
        <f t="shared" si="38"/>
        <v>0</v>
      </c>
      <c r="CS30" s="22">
        <f t="shared" si="36"/>
        <v>5000000</v>
      </c>
      <c r="CT30" s="22">
        <f t="shared" si="36"/>
        <v>0</v>
      </c>
      <c r="CU30" s="22">
        <f t="shared" si="36"/>
        <v>0</v>
      </c>
      <c r="CV30" s="22">
        <f t="shared" si="36"/>
        <v>0</v>
      </c>
      <c r="CW30" s="22">
        <f t="shared" si="36"/>
        <v>0</v>
      </c>
      <c r="CX30" s="22">
        <f t="shared" si="36"/>
        <v>0</v>
      </c>
      <c r="CY30" s="22">
        <f t="shared" si="36"/>
        <v>0</v>
      </c>
      <c r="CZ30" s="22">
        <f t="shared" si="36"/>
        <v>0</v>
      </c>
      <c r="DA30" s="22">
        <f t="shared" si="36"/>
        <v>0</v>
      </c>
      <c r="DB30" s="22">
        <f t="shared" si="36"/>
        <v>0</v>
      </c>
      <c r="DC30" s="22">
        <f t="shared" si="36"/>
        <v>0</v>
      </c>
      <c r="DD30" s="22">
        <f t="shared" si="36"/>
        <v>0</v>
      </c>
      <c r="DE30" s="22">
        <f t="shared" si="36"/>
        <v>0</v>
      </c>
      <c r="DF30" s="22">
        <f t="shared" si="36"/>
        <v>0</v>
      </c>
      <c r="DG30" s="22">
        <f t="shared" si="36"/>
        <v>0</v>
      </c>
      <c r="DH30" s="22">
        <f t="shared" si="36"/>
        <v>0</v>
      </c>
      <c r="DI30" s="22">
        <f t="shared" si="37"/>
        <v>0</v>
      </c>
      <c r="DJ30" s="22">
        <f t="shared" si="37"/>
        <v>0</v>
      </c>
      <c r="DK30" s="22">
        <f t="shared" si="37"/>
        <v>0</v>
      </c>
      <c r="DM30" s="26">
        <f t="shared" si="26"/>
        <v>5000000</v>
      </c>
      <c r="DN30" s="26">
        <f t="shared" si="27"/>
        <v>5000000</v>
      </c>
      <c r="DO30" s="26">
        <f t="shared" si="28"/>
        <v>5000000</v>
      </c>
    </row>
    <row r="31" spans="1:120" ht="33" customHeight="1" x14ac:dyDescent="0.25">
      <c r="A31" s="27"/>
      <c r="B31" s="189"/>
      <c r="C31" s="18" t="s">
        <v>120</v>
      </c>
      <c r="D31" s="19" t="s">
        <v>121</v>
      </c>
      <c r="E31" s="20">
        <v>410</v>
      </c>
      <c r="F31" s="21" t="s">
        <v>122</v>
      </c>
      <c r="G31" s="22">
        <f t="shared" si="29"/>
        <v>5000000</v>
      </c>
      <c r="H31" s="22"/>
      <c r="I31" s="22">
        <v>5000000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3">
        <f t="shared" si="1"/>
        <v>1</v>
      </c>
      <c r="AC31" s="22">
        <f t="shared" si="30"/>
        <v>5000000</v>
      </c>
      <c r="AD31" s="22"/>
      <c r="AE31" s="22">
        <f>+'[4]MAYO 2017'!$K$663</f>
        <v>5000000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3">
        <f t="shared" si="3"/>
        <v>0</v>
      </c>
      <c r="AY31" s="22">
        <f t="shared" si="31"/>
        <v>0</v>
      </c>
      <c r="AZ31" s="22">
        <f t="shared" si="32"/>
        <v>0</v>
      </c>
      <c r="BA31" s="22">
        <f t="shared" si="32"/>
        <v>0</v>
      </c>
      <c r="BB31" s="22">
        <f t="shared" si="32"/>
        <v>0</v>
      </c>
      <c r="BC31" s="22">
        <f t="shared" si="32"/>
        <v>0</v>
      </c>
      <c r="BD31" s="22">
        <f t="shared" si="32"/>
        <v>0</v>
      </c>
      <c r="BE31" s="22">
        <f t="shared" si="32"/>
        <v>0</v>
      </c>
      <c r="BF31" s="22">
        <f t="shared" si="32"/>
        <v>0</v>
      </c>
      <c r="BG31" s="22">
        <f t="shared" si="32"/>
        <v>0</v>
      </c>
      <c r="BH31" s="22">
        <f t="shared" si="32"/>
        <v>0</v>
      </c>
      <c r="BI31" s="22">
        <f t="shared" si="32"/>
        <v>0</v>
      </c>
      <c r="BJ31" s="22">
        <f t="shared" si="32"/>
        <v>0</v>
      </c>
      <c r="BK31" s="22">
        <f t="shared" si="32"/>
        <v>0</v>
      </c>
      <c r="BL31" s="22">
        <f t="shared" si="32"/>
        <v>0</v>
      </c>
      <c r="BM31" s="22">
        <f t="shared" si="32"/>
        <v>0</v>
      </c>
      <c r="BN31" s="22">
        <f t="shared" si="32"/>
        <v>0</v>
      </c>
      <c r="BO31" s="22">
        <f t="shared" si="32"/>
        <v>0</v>
      </c>
      <c r="BP31" s="22">
        <f t="shared" si="33"/>
        <v>0</v>
      </c>
      <c r="BQ31" s="22">
        <f t="shared" si="33"/>
        <v>0</v>
      </c>
      <c r="BR31" s="22">
        <f t="shared" si="33"/>
        <v>0</v>
      </c>
      <c r="BS31" s="22">
        <f t="shared" si="33"/>
        <v>0</v>
      </c>
      <c r="BT31" s="23">
        <f t="shared" si="7"/>
        <v>1</v>
      </c>
      <c r="BU31" s="22">
        <f t="shared" si="34"/>
        <v>5000000</v>
      </c>
      <c r="BV31" s="22"/>
      <c r="BW31" s="22">
        <f>+'[4]MAYO 2017'!$H$661</f>
        <v>5000000</v>
      </c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3">
        <f t="shared" si="9"/>
        <v>0</v>
      </c>
      <c r="CQ31" s="22">
        <f t="shared" si="35"/>
        <v>0</v>
      </c>
      <c r="CR31" s="22">
        <f t="shared" si="38"/>
        <v>0</v>
      </c>
      <c r="CS31" s="22">
        <f t="shared" si="36"/>
        <v>0</v>
      </c>
      <c r="CT31" s="22">
        <f t="shared" si="36"/>
        <v>0</v>
      </c>
      <c r="CU31" s="22">
        <f t="shared" si="36"/>
        <v>0</v>
      </c>
      <c r="CV31" s="22">
        <f t="shared" si="36"/>
        <v>0</v>
      </c>
      <c r="CW31" s="22">
        <f t="shared" si="36"/>
        <v>0</v>
      </c>
      <c r="CX31" s="22">
        <f t="shared" si="36"/>
        <v>0</v>
      </c>
      <c r="CY31" s="22">
        <f t="shared" si="36"/>
        <v>0</v>
      </c>
      <c r="CZ31" s="22">
        <f t="shared" si="36"/>
        <v>0</v>
      </c>
      <c r="DA31" s="22">
        <f t="shared" si="36"/>
        <v>0</v>
      </c>
      <c r="DB31" s="22">
        <f t="shared" si="36"/>
        <v>0</v>
      </c>
      <c r="DC31" s="22">
        <f t="shared" si="36"/>
        <v>0</v>
      </c>
      <c r="DD31" s="22">
        <f t="shared" si="36"/>
        <v>0</v>
      </c>
      <c r="DE31" s="22">
        <f t="shared" si="36"/>
        <v>0</v>
      </c>
      <c r="DF31" s="22">
        <f t="shared" si="36"/>
        <v>0</v>
      </c>
      <c r="DG31" s="22">
        <f t="shared" si="36"/>
        <v>0</v>
      </c>
      <c r="DH31" s="22">
        <f t="shared" si="36"/>
        <v>0</v>
      </c>
      <c r="DI31" s="22">
        <f t="shared" si="37"/>
        <v>0</v>
      </c>
      <c r="DJ31" s="22">
        <f t="shared" si="37"/>
        <v>0</v>
      </c>
      <c r="DK31" s="22">
        <f t="shared" si="37"/>
        <v>0</v>
      </c>
      <c r="DM31" s="26">
        <f t="shared" si="26"/>
        <v>5000000</v>
      </c>
      <c r="DN31" s="26">
        <f t="shared" si="27"/>
        <v>5000000</v>
      </c>
      <c r="DO31" s="26">
        <f t="shared" si="28"/>
        <v>5000000</v>
      </c>
    </row>
    <row r="32" spans="1:120" ht="56.25" customHeight="1" x14ac:dyDescent="0.25">
      <c r="A32" s="27"/>
      <c r="B32" s="189"/>
      <c r="C32" s="18" t="s">
        <v>123</v>
      </c>
      <c r="D32" s="19" t="s">
        <v>124</v>
      </c>
      <c r="E32" s="20">
        <v>410</v>
      </c>
      <c r="F32" s="21" t="s">
        <v>122</v>
      </c>
      <c r="G32" s="22">
        <f t="shared" si="29"/>
        <v>0</v>
      </c>
      <c r="H32" s="22"/>
      <c r="I32" s="22">
        <f>25000000-25000000</f>
        <v>0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3" t="e">
        <f t="shared" si="1"/>
        <v>#DIV/0!</v>
      </c>
      <c r="AC32" s="22">
        <f t="shared" si="30"/>
        <v>0</v>
      </c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3" t="e">
        <f t="shared" si="3"/>
        <v>#DIV/0!</v>
      </c>
      <c r="AY32" s="22">
        <f t="shared" si="31"/>
        <v>0</v>
      </c>
      <c r="AZ32" s="22">
        <f t="shared" si="32"/>
        <v>0</v>
      </c>
      <c r="BA32" s="22">
        <f t="shared" si="32"/>
        <v>0</v>
      </c>
      <c r="BB32" s="22">
        <f t="shared" si="32"/>
        <v>0</v>
      </c>
      <c r="BC32" s="22">
        <f t="shared" si="32"/>
        <v>0</v>
      </c>
      <c r="BD32" s="22">
        <f t="shared" si="32"/>
        <v>0</v>
      </c>
      <c r="BE32" s="22">
        <f t="shared" si="32"/>
        <v>0</v>
      </c>
      <c r="BF32" s="22">
        <f t="shared" si="32"/>
        <v>0</v>
      </c>
      <c r="BG32" s="22">
        <f t="shared" si="32"/>
        <v>0</v>
      </c>
      <c r="BH32" s="22">
        <f t="shared" si="32"/>
        <v>0</v>
      </c>
      <c r="BI32" s="22">
        <f t="shared" si="32"/>
        <v>0</v>
      </c>
      <c r="BJ32" s="22">
        <f t="shared" si="32"/>
        <v>0</v>
      </c>
      <c r="BK32" s="22">
        <f t="shared" si="32"/>
        <v>0</v>
      </c>
      <c r="BL32" s="22">
        <f t="shared" si="32"/>
        <v>0</v>
      </c>
      <c r="BM32" s="22">
        <f t="shared" si="32"/>
        <v>0</v>
      </c>
      <c r="BN32" s="22">
        <f t="shared" si="32"/>
        <v>0</v>
      </c>
      <c r="BO32" s="22">
        <f t="shared" si="32"/>
        <v>0</v>
      </c>
      <c r="BP32" s="22">
        <f t="shared" si="33"/>
        <v>0</v>
      </c>
      <c r="BQ32" s="22">
        <f t="shared" si="33"/>
        <v>0</v>
      </c>
      <c r="BR32" s="22">
        <f t="shared" si="33"/>
        <v>0</v>
      </c>
      <c r="BS32" s="22">
        <f t="shared" si="33"/>
        <v>0</v>
      </c>
      <c r="BT32" s="23" t="e">
        <f t="shared" si="7"/>
        <v>#DIV/0!</v>
      </c>
      <c r="BU32" s="22">
        <f t="shared" si="34"/>
        <v>0</v>
      </c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3" t="e">
        <f t="shared" si="9"/>
        <v>#DIV/0!</v>
      </c>
      <c r="CQ32" s="22">
        <f t="shared" si="35"/>
        <v>0</v>
      </c>
      <c r="CR32" s="22">
        <f t="shared" si="38"/>
        <v>0</v>
      </c>
      <c r="CS32" s="22">
        <f t="shared" si="36"/>
        <v>0</v>
      </c>
      <c r="CT32" s="22">
        <f t="shared" si="36"/>
        <v>0</v>
      </c>
      <c r="CU32" s="22">
        <f t="shared" si="36"/>
        <v>0</v>
      </c>
      <c r="CV32" s="22">
        <f t="shared" si="36"/>
        <v>0</v>
      </c>
      <c r="CW32" s="22">
        <f t="shared" si="36"/>
        <v>0</v>
      </c>
      <c r="CX32" s="22">
        <f t="shared" si="36"/>
        <v>0</v>
      </c>
      <c r="CY32" s="22">
        <f t="shared" si="36"/>
        <v>0</v>
      </c>
      <c r="CZ32" s="22">
        <f t="shared" si="36"/>
        <v>0</v>
      </c>
      <c r="DA32" s="22">
        <f t="shared" si="36"/>
        <v>0</v>
      </c>
      <c r="DB32" s="22">
        <f t="shared" si="36"/>
        <v>0</v>
      </c>
      <c r="DC32" s="22">
        <f t="shared" si="36"/>
        <v>0</v>
      </c>
      <c r="DD32" s="22">
        <f t="shared" si="36"/>
        <v>0</v>
      </c>
      <c r="DE32" s="22">
        <f t="shared" si="36"/>
        <v>0</v>
      </c>
      <c r="DF32" s="22">
        <f t="shared" si="36"/>
        <v>0</v>
      </c>
      <c r="DG32" s="22">
        <f t="shared" si="36"/>
        <v>0</v>
      </c>
      <c r="DH32" s="22">
        <f t="shared" si="36"/>
        <v>0</v>
      </c>
      <c r="DI32" s="22">
        <f t="shared" si="37"/>
        <v>0</v>
      </c>
      <c r="DJ32" s="22">
        <f t="shared" si="37"/>
        <v>0</v>
      </c>
      <c r="DK32" s="22">
        <f t="shared" si="37"/>
        <v>0</v>
      </c>
      <c r="DM32" s="26">
        <f t="shared" si="26"/>
        <v>0</v>
      </c>
      <c r="DN32" s="26">
        <f t="shared" si="27"/>
        <v>0</v>
      </c>
      <c r="DO32" s="26">
        <f t="shared" si="28"/>
        <v>0</v>
      </c>
    </row>
    <row r="33" spans="1:120" ht="35.25" customHeight="1" x14ac:dyDescent="0.25">
      <c r="A33" s="27"/>
      <c r="B33" s="189"/>
      <c r="C33" s="18" t="s">
        <v>125</v>
      </c>
      <c r="D33" s="19" t="s">
        <v>126</v>
      </c>
      <c r="E33" s="20">
        <v>410</v>
      </c>
      <c r="F33" s="21" t="s">
        <v>122</v>
      </c>
      <c r="G33" s="22">
        <f t="shared" si="29"/>
        <v>18000000</v>
      </c>
      <c r="H33" s="22"/>
      <c r="I33" s="22">
        <f>25000000-7000000</f>
        <v>18000000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3">
        <f t="shared" si="1"/>
        <v>0.72222222222222221</v>
      </c>
      <c r="AC33" s="22">
        <f t="shared" si="30"/>
        <v>13000000</v>
      </c>
      <c r="AD33" s="22"/>
      <c r="AE33" s="22">
        <f>+'[7]FEBRERO 2017'!$K$449</f>
        <v>13000000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3">
        <f t="shared" si="3"/>
        <v>0.27777777777777779</v>
      </c>
      <c r="AY33" s="22">
        <f t="shared" si="31"/>
        <v>5000000</v>
      </c>
      <c r="AZ33" s="22">
        <f t="shared" si="32"/>
        <v>0</v>
      </c>
      <c r="BA33" s="22">
        <f t="shared" si="32"/>
        <v>5000000</v>
      </c>
      <c r="BB33" s="22">
        <f t="shared" si="32"/>
        <v>0</v>
      </c>
      <c r="BC33" s="22">
        <f t="shared" si="32"/>
        <v>0</v>
      </c>
      <c r="BD33" s="22">
        <f t="shared" si="32"/>
        <v>0</v>
      </c>
      <c r="BE33" s="22">
        <f t="shared" si="32"/>
        <v>0</v>
      </c>
      <c r="BF33" s="22">
        <f t="shared" si="32"/>
        <v>0</v>
      </c>
      <c r="BG33" s="22">
        <f t="shared" si="32"/>
        <v>0</v>
      </c>
      <c r="BH33" s="22">
        <f t="shared" si="32"/>
        <v>0</v>
      </c>
      <c r="BI33" s="22">
        <f t="shared" si="32"/>
        <v>0</v>
      </c>
      <c r="BJ33" s="22">
        <f t="shared" si="32"/>
        <v>0</v>
      </c>
      <c r="BK33" s="22">
        <f t="shared" si="32"/>
        <v>0</v>
      </c>
      <c r="BL33" s="22">
        <f t="shared" si="32"/>
        <v>0</v>
      </c>
      <c r="BM33" s="22">
        <f t="shared" si="32"/>
        <v>0</v>
      </c>
      <c r="BN33" s="22">
        <f t="shared" si="32"/>
        <v>0</v>
      </c>
      <c r="BO33" s="22">
        <f t="shared" si="32"/>
        <v>0</v>
      </c>
      <c r="BP33" s="22">
        <f t="shared" si="33"/>
        <v>0</v>
      </c>
      <c r="BQ33" s="22">
        <f t="shared" si="33"/>
        <v>0</v>
      </c>
      <c r="BR33" s="22">
        <f t="shared" si="33"/>
        <v>0</v>
      </c>
      <c r="BS33" s="22">
        <f t="shared" si="33"/>
        <v>0</v>
      </c>
      <c r="BT33" s="23">
        <f t="shared" si="7"/>
        <v>0.55751850000000003</v>
      </c>
      <c r="BU33" s="22">
        <f t="shared" si="34"/>
        <v>10035333</v>
      </c>
      <c r="BV33" s="22"/>
      <c r="BW33" s="22">
        <f>+'[6]JULIO 2017'!$H$1004</f>
        <v>10035333</v>
      </c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3">
        <f t="shared" si="9"/>
        <v>0.44248149999999997</v>
      </c>
      <c r="CQ33" s="22">
        <f t="shared" si="35"/>
        <v>7964667</v>
      </c>
      <c r="CR33" s="22">
        <f t="shared" si="38"/>
        <v>0</v>
      </c>
      <c r="CS33" s="22">
        <f t="shared" si="36"/>
        <v>7964667</v>
      </c>
      <c r="CT33" s="22">
        <f t="shared" si="36"/>
        <v>0</v>
      </c>
      <c r="CU33" s="22">
        <f t="shared" si="36"/>
        <v>0</v>
      </c>
      <c r="CV33" s="22">
        <f t="shared" si="36"/>
        <v>0</v>
      </c>
      <c r="CW33" s="22">
        <f t="shared" si="36"/>
        <v>0</v>
      </c>
      <c r="CX33" s="22">
        <f t="shared" si="36"/>
        <v>0</v>
      </c>
      <c r="CY33" s="22">
        <f t="shared" si="36"/>
        <v>0</v>
      </c>
      <c r="CZ33" s="22">
        <f t="shared" si="36"/>
        <v>0</v>
      </c>
      <c r="DA33" s="22">
        <f t="shared" si="36"/>
        <v>0</v>
      </c>
      <c r="DB33" s="22">
        <f t="shared" si="36"/>
        <v>0</v>
      </c>
      <c r="DC33" s="22">
        <f t="shared" si="36"/>
        <v>0</v>
      </c>
      <c r="DD33" s="22">
        <f t="shared" si="36"/>
        <v>0</v>
      </c>
      <c r="DE33" s="22">
        <f t="shared" si="36"/>
        <v>0</v>
      </c>
      <c r="DF33" s="22">
        <f t="shared" si="36"/>
        <v>0</v>
      </c>
      <c r="DG33" s="22">
        <f t="shared" si="36"/>
        <v>0</v>
      </c>
      <c r="DH33" s="22">
        <f t="shared" si="36"/>
        <v>0</v>
      </c>
      <c r="DI33" s="22">
        <f t="shared" si="37"/>
        <v>0</v>
      </c>
      <c r="DJ33" s="22">
        <f t="shared" si="37"/>
        <v>0</v>
      </c>
      <c r="DK33" s="22">
        <f t="shared" si="37"/>
        <v>0</v>
      </c>
      <c r="DM33" s="26">
        <f t="shared" si="26"/>
        <v>18000000</v>
      </c>
      <c r="DN33" s="26">
        <f t="shared" si="27"/>
        <v>18000000</v>
      </c>
      <c r="DO33" s="26">
        <f t="shared" si="28"/>
        <v>18000000</v>
      </c>
    </row>
    <row r="34" spans="1:120" ht="37.5" customHeight="1" x14ac:dyDescent="0.25">
      <c r="A34" s="27"/>
      <c r="B34" s="189"/>
      <c r="C34" s="18" t="s">
        <v>127</v>
      </c>
      <c r="D34" s="19" t="s">
        <v>128</v>
      </c>
      <c r="E34" s="20">
        <v>410</v>
      </c>
      <c r="F34" s="21" t="s">
        <v>129</v>
      </c>
      <c r="G34" s="22">
        <f t="shared" si="29"/>
        <v>50000000</v>
      </c>
      <c r="H34" s="22"/>
      <c r="I34" s="22">
        <v>45000000</v>
      </c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>
        <v>5000000</v>
      </c>
      <c r="AB34" s="23">
        <f t="shared" si="1"/>
        <v>0.89916090000000004</v>
      </c>
      <c r="AC34" s="22">
        <f t="shared" si="30"/>
        <v>44958045</v>
      </c>
      <c r="AD34" s="22"/>
      <c r="AE34" s="22">
        <f>+'[3]JUNIO 2017'!$K$786</f>
        <v>44958045</v>
      </c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3">
        <f t="shared" si="3"/>
        <v>0.10083909999999996</v>
      </c>
      <c r="AY34" s="22">
        <f t="shared" si="31"/>
        <v>5041955</v>
      </c>
      <c r="AZ34" s="22">
        <f t="shared" si="32"/>
        <v>0</v>
      </c>
      <c r="BA34" s="22">
        <f t="shared" si="32"/>
        <v>41955</v>
      </c>
      <c r="BB34" s="22">
        <f t="shared" si="32"/>
        <v>0</v>
      </c>
      <c r="BC34" s="22">
        <f t="shared" si="32"/>
        <v>0</v>
      </c>
      <c r="BD34" s="22">
        <f t="shared" si="32"/>
        <v>0</v>
      </c>
      <c r="BE34" s="22">
        <f t="shared" si="32"/>
        <v>0</v>
      </c>
      <c r="BF34" s="22">
        <f t="shared" si="32"/>
        <v>0</v>
      </c>
      <c r="BG34" s="22">
        <f t="shared" si="32"/>
        <v>0</v>
      </c>
      <c r="BH34" s="22">
        <f t="shared" si="32"/>
        <v>0</v>
      </c>
      <c r="BI34" s="22">
        <f t="shared" si="32"/>
        <v>0</v>
      </c>
      <c r="BJ34" s="22">
        <f t="shared" si="32"/>
        <v>0</v>
      </c>
      <c r="BK34" s="22">
        <f t="shared" si="32"/>
        <v>0</v>
      </c>
      <c r="BL34" s="22">
        <f t="shared" si="32"/>
        <v>0</v>
      </c>
      <c r="BM34" s="22">
        <f t="shared" si="32"/>
        <v>0</v>
      </c>
      <c r="BN34" s="22">
        <f t="shared" si="32"/>
        <v>0</v>
      </c>
      <c r="BO34" s="22">
        <f t="shared" si="32"/>
        <v>0</v>
      </c>
      <c r="BP34" s="22">
        <f t="shared" si="33"/>
        <v>0</v>
      </c>
      <c r="BQ34" s="22">
        <f t="shared" si="33"/>
        <v>0</v>
      </c>
      <c r="BR34" s="22">
        <f t="shared" si="33"/>
        <v>0</v>
      </c>
      <c r="BS34" s="22">
        <f t="shared" si="33"/>
        <v>5000000</v>
      </c>
      <c r="BT34" s="23">
        <f t="shared" si="7"/>
        <v>0.89916090000000004</v>
      </c>
      <c r="BU34" s="22">
        <f t="shared" si="34"/>
        <v>44958045</v>
      </c>
      <c r="BV34" s="22"/>
      <c r="BW34" s="22">
        <f>+'[3]JUNIO 2017'!$H$784</f>
        <v>44958045</v>
      </c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3">
        <f t="shared" si="9"/>
        <v>0.10083909999999996</v>
      </c>
      <c r="CQ34" s="22">
        <f t="shared" si="35"/>
        <v>5041955</v>
      </c>
      <c r="CR34" s="22">
        <f t="shared" si="38"/>
        <v>0</v>
      </c>
      <c r="CS34" s="22">
        <f t="shared" si="36"/>
        <v>41955</v>
      </c>
      <c r="CT34" s="22">
        <f t="shared" si="36"/>
        <v>0</v>
      </c>
      <c r="CU34" s="22">
        <f t="shared" si="36"/>
        <v>0</v>
      </c>
      <c r="CV34" s="22">
        <f t="shared" si="36"/>
        <v>0</v>
      </c>
      <c r="CW34" s="22">
        <f t="shared" si="36"/>
        <v>0</v>
      </c>
      <c r="CX34" s="22">
        <f t="shared" si="36"/>
        <v>0</v>
      </c>
      <c r="CY34" s="22">
        <f t="shared" si="36"/>
        <v>0</v>
      </c>
      <c r="CZ34" s="22">
        <f t="shared" si="36"/>
        <v>0</v>
      </c>
      <c r="DA34" s="22">
        <f t="shared" si="36"/>
        <v>0</v>
      </c>
      <c r="DB34" s="22">
        <f t="shared" si="36"/>
        <v>0</v>
      </c>
      <c r="DC34" s="22">
        <f t="shared" si="36"/>
        <v>0</v>
      </c>
      <c r="DD34" s="22">
        <f t="shared" si="36"/>
        <v>0</v>
      </c>
      <c r="DE34" s="22">
        <f t="shared" si="36"/>
        <v>0</v>
      </c>
      <c r="DF34" s="22">
        <f t="shared" si="36"/>
        <v>0</v>
      </c>
      <c r="DG34" s="22">
        <f t="shared" si="36"/>
        <v>0</v>
      </c>
      <c r="DH34" s="22">
        <f t="shared" si="36"/>
        <v>0</v>
      </c>
      <c r="DI34" s="22">
        <f t="shared" si="37"/>
        <v>0</v>
      </c>
      <c r="DJ34" s="22">
        <f t="shared" si="37"/>
        <v>0</v>
      </c>
      <c r="DK34" s="22">
        <f t="shared" si="37"/>
        <v>5000000</v>
      </c>
      <c r="DM34" s="26">
        <f t="shared" si="26"/>
        <v>50000000</v>
      </c>
      <c r="DN34" s="26">
        <f t="shared" si="27"/>
        <v>50000000</v>
      </c>
      <c r="DO34" s="26">
        <f t="shared" si="28"/>
        <v>50000000</v>
      </c>
    </row>
    <row r="35" spans="1:120" ht="33.75" customHeight="1" x14ac:dyDescent="0.25">
      <c r="A35" s="27"/>
      <c r="B35" s="189"/>
      <c r="C35" s="18" t="s">
        <v>130</v>
      </c>
      <c r="D35" s="19" t="s">
        <v>131</v>
      </c>
      <c r="E35" s="20">
        <v>410</v>
      </c>
      <c r="F35" s="21" t="s">
        <v>132</v>
      </c>
      <c r="G35" s="22">
        <f t="shared" si="29"/>
        <v>55000000</v>
      </c>
      <c r="H35" s="22"/>
      <c r="I35" s="22">
        <v>45000000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>
        <f>5000000+5000000</f>
        <v>10000000</v>
      </c>
      <c r="AB35" s="23">
        <f t="shared" si="1"/>
        <v>0.63194709090909096</v>
      </c>
      <c r="AC35" s="22">
        <f t="shared" si="30"/>
        <v>34757090</v>
      </c>
      <c r="AD35" s="22"/>
      <c r="AE35" s="22">
        <f>+'[5]AGOSTO 2017'!$K$1234</f>
        <v>28207090</v>
      </c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>
        <f>+'[6]JULIO 2017'!$AC$1037</f>
        <v>6550000</v>
      </c>
      <c r="AX35" s="23">
        <f t="shared" si="3"/>
        <v>0.36805290909090904</v>
      </c>
      <c r="AY35" s="22">
        <f t="shared" si="31"/>
        <v>20242910</v>
      </c>
      <c r="AZ35" s="22">
        <f t="shared" si="32"/>
        <v>0</v>
      </c>
      <c r="BA35" s="22">
        <f t="shared" si="32"/>
        <v>16792910</v>
      </c>
      <c r="BB35" s="22">
        <f t="shared" si="32"/>
        <v>0</v>
      </c>
      <c r="BC35" s="22">
        <f t="shared" si="32"/>
        <v>0</v>
      </c>
      <c r="BD35" s="22">
        <f t="shared" si="32"/>
        <v>0</v>
      </c>
      <c r="BE35" s="22">
        <f t="shared" si="32"/>
        <v>0</v>
      </c>
      <c r="BF35" s="22">
        <f t="shared" si="32"/>
        <v>0</v>
      </c>
      <c r="BG35" s="22">
        <f t="shared" si="32"/>
        <v>0</v>
      </c>
      <c r="BH35" s="22">
        <f t="shared" si="32"/>
        <v>0</v>
      </c>
      <c r="BI35" s="22">
        <f t="shared" si="32"/>
        <v>0</v>
      </c>
      <c r="BJ35" s="22">
        <f t="shared" si="32"/>
        <v>0</v>
      </c>
      <c r="BK35" s="22">
        <f t="shared" si="32"/>
        <v>0</v>
      </c>
      <c r="BL35" s="22">
        <f t="shared" si="32"/>
        <v>0</v>
      </c>
      <c r="BM35" s="22">
        <f t="shared" si="32"/>
        <v>0</v>
      </c>
      <c r="BN35" s="22">
        <f t="shared" si="32"/>
        <v>0</v>
      </c>
      <c r="BO35" s="22">
        <f t="shared" si="32"/>
        <v>0</v>
      </c>
      <c r="BP35" s="22">
        <f t="shared" si="33"/>
        <v>0</v>
      </c>
      <c r="BQ35" s="22">
        <f t="shared" si="33"/>
        <v>0</v>
      </c>
      <c r="BR35" s="22">
        <f t="shared" si="33"/>
        <v>0</v>
      </c>
      <c r="BS35" s="22">
        <f t="shared" si="33"/>
        <v>3450000</v>
      </c>
      <c r="BT35" s="23">
        <f t="shared" si="7"/>
        <v>0.63194709090909096</v>
      </c>
      <c r="BU35" s="22">
        <f t="shared" si="34"/>
        <v>34757090</v>
      </c>
      <c r="BV35" s="22"/>
      <c r="BW35" s="22">
        <f>+'[5]AGOSTO 2017'!$H$1235+'[5]AGOSTO 2017'!$H$1237+'[5]AGOSTO 2017'!$H$1246+'[5]AGOSTO 2017'!$H$1250+'[5]AGOSTO 2017'!$H$1251+'[5]AGOSTO 2017'!$H$1253</f>
        <v>28207090</v>
      </c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>
        <f>+'[6]JULIO 2017'!$H$1035-'[6]JULIO 2017'!$K$1037</f>
        <v>6550000</v>
      </c>
      <c r="CP35" s="23">
        <f t="shared" si="9"/>
        <v>0.36805290909090904</v>
      </c>
      <c r="CQ35" s="22">
        <f t="shared" si="35"/>
        <v>20242910</v>
      </c>
      <c r="CR35" s="22">
        <f t="shared" si="38"/>
        <v>0</v>
      </c>
      <c r="CS35" s="22">
        <f t="shared" si="36"/>
        <v>16792910</v>
      </c>
      <c r="CT35" s="22">
        <f t="shared" si="36"/>
        <v>0</v>
      </c>
      <c r="CU35" s="22">
        <f t="shared" si="36"/>
        <v>0</v>
      </c>
      <c r="CV35" s="22">
        <f t="shared" si="36"/>
        <v>0</v>
      </c>
      <c r="CW35" s="22">
        <f t="shared" si="36"/>
        <v>0</v>
      </c>
      <c r="CX35" s="22">
        <f t="shared" si="36"/>
        <v>0</v>
      </c>
      <c r="CY35" s="22">
        <f t="shared" si="36"/>
        <v>0</v>
      </c>
      <c r="CZ35" s="22">
        <f t="shared" si="36"/>
        <v>0</v>
      </c>
      <c r="DA35" s="22">
        <f t="shared" si="36"/>
        <v>0</v>
      </c>
      <c r="DB35" s="22">
        <f t="shared" si="36"/>
        <v>0</v>
      </c>
      <c r="DC35" s="22">
        <f t="shared" si="36"/>
        <v>0</v>
      </c>
      <c r="DD35" s="22">
        <f t="shared" si="36"/>
        <v>0</v>
      </c>
      <c r="DE35" s="22">
        <f t="shared" si="36"/>
        <v>0</v>
      </c>
      <c r="DF35" s="22">
        <f t="shared" si="36"/>
        <v>0</v>
      </c>
      <c r="DG35" s="22">
        <f t="shared" si="36"/>
        <v>0</v>
      </c>
      <c r="DH35" s="22">
        <f t="shared" si="36"/>
        <v>0</v>
      </c>
      <c r="DI35" s="22">
        <f t="shared" si="37"/>
        <v>0</v>
      </c>
      <c r="DJ35" s="22">
        <f t="shared" si="37"/>
        <v>0</v>
      </c>
      <c r="DK35" s="22">
        <f t="shared" si="37"/>
        <v>3450000</v>
      </c>
      <c r="DM35" s="26">
        <f t="shared" si="26"/>
        <v>55000000</v>
      </c>
      <c r="DN35" s="26">
        <f t="shared" si="27"/>
        <v>55000000</v>
      </c>
      <c r="DO35" s="26">
        <f t="shared" si="28"/>
        <v>55000000</v>
      </c>
    </row>
    <row r="36" spans="1:120" ht="30.75" customHeight="1" x14ac:dyDescent="0.25">
      <c r="A36" s="27"/>
      <c r="B36" s="189"/>
      <c r="C36" s="18" t="s">
        <v>133</v>
      </c>
      <c r="D36" s="19" t="s">
        <v>134</v>
      </c>
      <c r="E36" s="20">
        <v>410</v>
      </c>
      <c r="F36" s="21" t="s">
        <v>112</v>
      </c>
      <c r="G36" s="22">
        <f t="shared" si="29"/>
        <v>90000000</v>
      </c>
      <c r="H36" s="22"/>
      <c r="I36" s="22"/>
      <c r="J36" s="22">
        <v>80000000</v>
      </c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>
        <v>10000000</v>
      </c>
      <c r="AB36" s="23">
        <f t="shared" si="1"/>
        <v>0.36018442222222224</v>
      </c>
      <c r="AC36" s="22">
        <f t="shared" si="30"/>
        <v>32416598</v>
      </c>
      <c r="AD36" s="22"/>
      <c r="AE36" s="22"/>
      <c r="AF36" s="22">
        <f>+'[5]AGOSTO 2017'!$L$1257</f>
        <v>24910000</v>
      </c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>
        <f>+'[5]AGOSTO 2017'!$AC$1257</f>
        <v>7506598</v>
      </c>
      <c r="AX36" s="23">
        <f t="shared" si="3"/>
        <v>0.63981557777777776</v>
      </c>
      <c r="AY36" s="22">
        <f t="shared" si="31"/>
        <v>57583402</v>
      </c>
      <c r="AZ36" s="22">
        <f t="shared" si="32"/>
        <v>0</v>
      </c>
      <c r="BA36" s="22">
        <f t="shared" si="32"/>
        <v>0</v>
      </c>
      <c r="BB36" s="22">
        <f t="shared" si="32"/>
        <v>55090000</v>
      </c>
      <c r="BC36" s="22">
        <f t="shared" si="32"/>
        <v>0</v>
      </c>
      <c r="BD36" s="22">
        <f t="shared" si="32"/>
        <v>0</v>
      </c>
      <c r="BE36" s="22">
        <f t="shared" si="32"/>
        <v>0</v>
      </c>
      <c r="BF36" s="22">
        <f t="shared" si="32"/>
        <v>0</v>
      </c>
      <c r="BG36" s="22">
        <f t="shared" si="32"/>
        <v>0</v>
      </c>
      <c r="BH36" s="22">
        <f t="shared" si="32"/>
        <v>0</v>
      </c>
      <c r="BI36" s="22">
        <f t="shared" si="32"/>
        <v>0</v>
      </c>
      <c r="BJ36" s="22">
        <f t="shared" si="32"/>
        <v>0</v>
      </c>
      <c r="BK36" s="22">
        <f t="shared" si="32"/>
        <v>0</v>
      </c>
      <c r="BL36" s="22">
        <f t="shared" si="32"/>
        <v>0</v>
      </c>
      <c r="BM36" s="22">
        <f t="shared" si="32"/>
        <v>0</v>
      </c>
      <c r="BN36" s="22">
        <f t="shared" si="32"/>
        <v>0</v>
      </c>
      <c r="BO36" s="22">
        <f t="shared" si="32"/>
        <v>0</v>
      </c>
      <c r="BP36" s="22">
        <f t="shared" si="33"/>
        <v>0</v>
      </c>
      <c r="BQ36" s="22">
        <f t="shared" si="33"/>
        <v>0</v>
      </c>
      <c r="BR36" s="22">
        <f t="shared" si="33"/>
        <v>0</v>
      </c>
      <c r="BS36" s="22">
        <f t="shared" si="33"/>
        <v>2493402</v>
      </c>
      <c r="BT36" s="23">
        <f t="shared" si="7"/>
        <v>0.32351774444444442</v>
      </c>
      <c r="BU36" s="22">
        <f t="shared" si="34"/>
        <v>29116597</v>
      </c>
      <c r="BV36" s="22"/>
      <c r="BW36" s="22"/>
      <c r="BX36" s="22">
        <f>+'[5]AGOSTO 2017'!$H$1258+'[5]AGOSTO 2017'!$H$1262+'[5]AGOSTO 2017'!$H$1265+'[5]AGOSTO 2017'!$H$1267+'[5]AGOSTO 2017'!$H$1269+'[5]AGOSTO 2017'!$H$1271+'[5]AGOSTO 2017'!$H$1273+'[5]AGOSTO 2017'!$H$1275+'[5]AGOSTO 2017'!$H$1278</f>
        <v>24909999</v>
      </c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>
        <f>+'[4]MAYO 2017'!$H$721+'[4]MAYO 2017'!$H$726</f>
        <v>4206598</v>
      </c>
      <c r="CP36" s="23">
        <f t="shared" si="9"/>
        <v>0.67648225555555563</v>
      </c>
      <c r="CQ36" s="22">
        <f t="shared" si="35"/>
        <v>60883403</v>
      </c>
      <c r="CR36" s="22">
        <f t="shared" si="38"/>
        <v>0</v>
      </c>
      <c r="CS36" s="22">
        <f t="shared" si="36"/>
        <v>0</v>
      </c>
      <c r="CT36" s="22">
        <f t="shared" si="36"/>
        <v>55090001</v>
      </c>
      <c r="CU36" s="22">
        <f t="shared" si="36"/>
        <v>0</v>
      </c>
      <c r="CV36" s="22">
        <f t="shared" si="36"/>
        <v>0</v>
      </c>
      <c r="CW36" s="22">
        <f t="shared" si="36"/>
        <v>0</v>
      </c>
      <c r="CX36" s="22">
        <f t="shared" si="36"/>
        <v>0</v>
      </c>
      <c r="CY36" s="22">
        <f t="shared" si="36"/>
        <v>0</v>
      </c>
      <c r="CZ36" s="22">
        <f t="shared" si="36"/>
        <v>0</v>
      </c>
      <c r="DA36" s="22">
        <f t="shared" si="36"/>
        <v>0</v>
      </c>
      <c r="DB36" s="22">
        <f t="shared" si="36"/>
        <v>0</v>
      </c>
      <c r="DC36" s="22">
        <f t="shared" si="36"/>
        <v>0</v>
      </c>
      <c r="DD36" s="22">
        <f t="shared" si="36"/>
        <v>0</v>
      </c>
      <c r="DE36" s="22">
        <f t="shared" si="36"/>
        <v>0</v>
      </c>
      <c r="DF36" s="22">
        <f t="shared" si="36"/>
        <v>0</v>
      </c>
      <c r="DG36" s="22">
        <f t="shared" si="36"/>
        <v>0</v>
      </c>
      <c r="DH36" s="22">
        <f t="shared" si="36"/>
        <v>0</v>
      </c>
      <c r="DI36" s="22">
        <f t="shared" si="37"/>
        <v>0</v>
      </c>
      <c r="DJ36" s="22">
        <f t="shared" si="37"/>
        <v>0</v>
      </c>
      <c r="DK36" s="22">
        <f t="shared" si="37"/>
        <v>5793402</v>
      </c>
      <c r="DM36" s="26">
        <f t="shared" si="26"/>
        <v>90000000</v>
      </c>
      <c r="DN36" s="26">
        <f t="shared" si="27"/>
        <v>90000000</v>
      </c>
      <c r="DO36" s="26">
        <f t="shared" si="28"/>
        <v>90000000</v>
      </c>
    </row>
    <row r="37" spans="1:120" ht="38.25" customHeight="1" x14ac:dyDescent="0.25">
      <c r="A37" s="27"/>
      <c r="B37" s="189"/>
      <c r="C37" s="18" t="s">
        <v>135</v>
      </c>
      <c r="D37" s="19" t="s">
        <v>136</v>
      </c>
      <c r="E37" s="20">
        <v>410</v>
      </c>
      <c r="F37" s="21" t="s">
        <v>137</v>
      </c>
      <c r="G37" s="22">
        <f t="shared" si="29"/>
        <v>8000000</v>
      </c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>
        <v>8000000</v>
      </c>
      <c r="AB37" s="23">
        <f t="shared" si="1"/>
        <v>0.1136395</v>
      </c>
      <c r="AC37" s="22">
        <f t="shared" si="30"/>
        <v>909116</v>
      </c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>
        <f>+'[5]AGOSTO 2017'!$AC$1282</f>
        <v>909116</v>
      </c>
      <c r="AX37" s="23">
        <f t="shared" si="3"/>
        <v>0.8863605</v>
      </c>
      <c r="AY37" s="22">
        <f t="shared" si="31"/>
        <v>7090884</v>
      </c>
      <c r="AZ37" s="22">
        <f t="shared" si="32"/>
        <v>0</v>
      </c>
      <c r="BA37" s="22">
        <f t="shared" si="32"/>
        <v>0</v>
      </c>
      <c r="BB37" s="22">
        <f t="shared" si="32"/>
        <v>0</v>
      </c>
      <c r="BC37" s="22">
        <f t="shared" si="32"/>
        <v>0</v>
      </c>
      <c r="BD37" s="22">
        <f t="shared" si="32"/>
        <v>0</v>
      </c>
      <c r="BE37" s="22">
        <f t="shared" si="32"/>
        <v>0</v>
      </c>
      <c r="BF37" s="22">
        <f t="shared" si="32"/>
        <v>0</v>
      </c>
      <c r="BG37" s="22">
        <f t="shared" si="32"/>
        <v>0</v>
      </c>
      <c r="BH37" s="22">
        <f t="shared" si="32"/>
        <v>0</v>
      </c>
      <c r="BI37" s="22">
        <f t="shared" si="32"/>
        <v>0</v>
      </c>
      <c r="BJ37" s="22">
        <f t="shared" si="32"/>
        <v>0</v>
      </c>
      <c r="BK37" s="22">
        <f t="shared" si="32"/>
        <v>0</v>
      </c>
      <c r="BL37" s="22">
        <f t="shared" si="32"/>
        <v>0</v>
      </c>
      <c r="BM37" s="22">
        <f t="shared" si="32"/>
        <v>0</v>
      </c>
      <c r="BN37" s="22">
        <f t="shared" si="32"/>
        <v>0</v>
      </c>
      <c r="BO37" s="22">
        <f t="shared" si="32"/>
        <v>0</v>
      </c>
      <c r="BP37" s="22">
        <f t="shared" si="33"/>
        <v>0</v>
      </c>
      <c r="BQ37" s="22">
        <f t="shared" si="33"/>
        <v>0</v>
      </c>
      <c r="BR37" s="22">
        <f t="shared" si="33"/>
        <v>0</v>
      </c>
      <c r="BS37" s="22">
        <f t="shared" si="33"/>
        <v>7090884</v>
      </c>
      <c r="BT37" s="23">
        <f t="shared" si="7"/>
        <v>0.1136395</v>
      </c>
      <c r="BU37" s="22">
        <f t="shared" si="34"/>
        <v>909116</v>
      </c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>
        <f>+'[5]AGOSTO 2017'!$H$1280</f>
        <v>909116</v>
      </c>
      <c r="CP37" s="23">
        <f t="shared" si="9"/>
        <v>0.8863605</v>
      </c>
      <c r="CQ37" s="22">
        <f t="shared" si="35"/>
        <v>7090884</v>
      </c>
      <c r="CR37" s="22">
        <f t="shared" si="38"/>
        <v>0</v>
      </c>
      <c r="CS37" s="22">
        <f t="shared" si="36"/>
        <v>0</v>
      </c>
      <c r="CT37" s="22">
        <f t="shared" si="36"/>
        <v>0</v>
      </c>
      <c r="CU37" s="22">
        <f t="shared" si="36"/>
        <v>0</v>
      </c>
      <c r="CV37" s="22">
        <f t="shared" si="36"/>
        <v>0</v>
      </c>
      <c r="CW37" s="22">
        <f t="shared" si="36"/>
        <v>0</v>
      </c>
      <c r="CX37" s="22">
        <f t="shared" si="36"/>
        <v>0</v>
      </c>
      <c r="CY37" s="22">
        <f t="shared" si="36"/>
        <v>0</v>
      </c>
      <c r="CZ37" s="22">
        <f t="shared" si="36"/>
        <v>0</v>
      </c>
      <c r="DA37" s="22">
        <f t="shared" si="36"/>
        <v>0</v>
      </c>
      <c r="DB37" s="22">
        <f t="shared" si="36"/>
        <v>0</v>
      </c>
      <c r="DC37" s="22">
        <f t="shared" si="36"/>
        <v>0</v>
      </c>
      <c r="DD37" s="22">
        <f t="shared" si="36"/>
        <v>0</v>
      </c>
      <c r="DE37" s="22">
        <f t="shared" si="36"/>
        <v>0</v>
      </c>
      <c r="DF37" s="22">
        <f t="shared" si="36"/>
        <v>0</v>
      </c>
      <c r="DG37" s="22">
        <f t="shared" si="36"/>
        <v>0</v>
      </c>
      <c r="DH37" s="22">
        <f t="shared" si="36"/>
        <v>0</v>
      </c>
      <c r="DI37" s="22">
        <f t="shared" si="37"/>
        <v>0</v>
      </c>
      <c r="DJ37" s="22">
        <f t="shared" si="37"/>
        <v>0</v>
      </c>
      <c r="DK37" s="22">
        <f t="shared" si="37"/>
        <v>7090884</v>
      </c>
      <c r="DM37" s="26">
        <f t="shared" si="26"/>
        <v>8000000</v>
      </c>
      <c r="DN37" s="26">
        <f t="shared" si="27"/>
        <v>8000000</v>
      </c>
      <c r="DO37" s="26">
        <f t="shared" si="28"/>
        <v>8000000</v>
      </c>
    </row>
    <row r="38" spans="1:120" ht="48.75" customHeight="1" x14ac:dyDescent="0.25">
      <c r="A38" s="27"/>
      <c r="B38" s="190"/>
      <c r="C38" s="18" t="s">
        <v>138</v>
      </c>
      <c r="D38" s="19" t="s">
        <v>139</v>
      </c>
      <c r="E38" s="20">
        <v>410</v>
      </c>
      <c r="F38" s="21" t="s">
        <v>140</v>
      </c>
      <c r="G38" s="22">
        <f t="shared" si="29"/>
        <v>319946741</v>
      </c>
      <c r="H38" s="22"/>
      <c r="I38" s="22">
        <v>200000000</v>
      </c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>
        <f>15907499+69169357+34869885</f>
        <v>119946741</v>
      </c>
      <c r="Y38" s="22"/>
      <c r="Z38" s="22"/>
      <c r="AA38" s="22"/>
      <c r="AB38" s="23">
        <f t="shared" si="1"/>
        <v>1</v>
      </c>
      <c r="AC38" s="22">
        <f t="shared" si="30"/>
        <v>319946741</v>
      </c>
      <c r="AD38" s="22"/>
      <c r="AE38" s="22">
        <f>+'[1]ENERO 2017'!$K$361</f>
        <v>200000000</v>
      </c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>
        <f>+'[6]JULIO 2017'!$Z$1084</f>
        <v>119946741</v>
      </c>
      <c r="AU38" s="22"/>
      <c r="AV38" s="22"/>
      <c r="AW38" s="22"/>
      <c r="AX38" s="23">
        <f t="shared" si="3"/>
        <v>0</v>
      </c>
      <c r="AY38" s="22">
        <f t="shared" si="31"/>
        <v>0</v>
      </c>
      <c r="AZ38" s="22">
        <f t="shared" si="32"/>
        <v>0</v>
      </c>
      <c r="BA38" s="22">
        <f t="shared" si="32"/>
        <v>0</v>
      </c>
      <c r="BB38" s="22">
        <f t="shared" si="32"/>
        <v>0</v>
      </c>
      <c r="BC38" s="22">
        <f t="shared" si="32"/>
        <v>0</v>
      </c>
      <c r="BD38" s="22">
        <f t="shared" si="32"/>
        <v>0</v>
      </c>
      <c r="BE38" s="22">
        <f t="shared" si="32"/>
        <v>0</v>
      </c>
      <c r="BF38" s="22">
        <f t="shared" si="32"/>
        <v>0</v>
      </c>
      <c r="BG38" s="22">
        <f t="shared" si="32"/>
        <v>0</v>
      </c>
      <c r="BH38" s="22">
        <f t="shared" si="32"/>
        <v>0</v>
      </c>
      <c r="BI38" s="22">
        <f t="shared" si="32"/>
        <v>0</v>
      </c>
      <c r="BJ38" s="22">
        <f t="shared" si="32"/>
        <v>0</v>
      </c>
      <c r="BK38" s="22">
        <f t="shared" si="32"/>
        <v>0</v>
      </c>
      <c r="BL38" s="22">
        <f t="shared" si="32"/>
        <v>0</v>
      </c>
      <c r="BM38" s="22">
        <f t="shared" si="32"/>
        <v>0</v>
      </c>
      <c r="BN38" s="22">
        <f t="shared" si="32"/>
        <v>0</v>
      </c>
      <c r="BO38" s="22">
        <f t="shared" si="32"/>
        <v>0</v>
      </c>
      <c r="BP38" s="22">
        <f>+X38-AT38</f>
        <v>0</v>
      </c>
      <c r="BQ38" s="22">
        <f t="shared" si="33"/>
        <v>0</v>
      </c>
      <c r="BR38" s="22">
        <f t="shared" si="33"/>
        <v>0</v>
      </c>
      <c r="BS38" s="22">
        <f t="shared" si="33"/>
        <v>0</v>
      </c>
      <c r="BT38" s="23">
        <f t="shared" si="7"/>
        <v>0.67671552560055614</v>
      </c>
      <c r="BU38" s="22">
        <f t="shared" si="34"/>
        <v>216512927</v>
      </c>
      <c r="BV38" s="22"/>
      <c r="BW38" s="22">
        <f>+'[5]AGOSTO 2017'!$H$1291+'[5]AGOSTO 2017'!$H$1308+'[5]AGOSTO 2017'!$H$1321</f>
        <v>171648249</v>
      </c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>
        <f>+'[5]AGOSTO 2017'!$H$1356+'[5]AGOSTO 2017'!$H$1364</f>
        <v>44864678</v>
      </c>
      <c r="CM38" s="22"/>
      <c r="CN38" s="22"/>
      <c r="CO38" s="22"/>
      <c r="CP38" s="23">
        <f t="shared" si="9"/>
        <v>0.32328447439944386</v>
      </c>
      <c r="CQ38" s="22">
        <f t="shared" si="35"/>
        <v>103433814</v>
      </c>
      <c r="CR38" s="22">
        <f t="shared" si="38"/>
        <v>0</v>
      </c>
      <c r="CS38" s="22">
        <f t="shared" si="36"/>
        <v>28351751</v>
      </c>
      <c r="CT38" s="22">
        <f t="shared" si="36"/>
        <v>0</v>
      </c>
      <c r="CU38" s="22">
        <f t="shared" si="36"/>
        <v>0</v>
      </c>
      <c r="CV38" s="22">
        <f t="shared" si="36"/>
        <v>0</v>
      </c>
      <c r="CW38" s="22">
        <f t="shared" si="36"/>
        <v>0</v>
      </c>
      <c r="CX38" s="22">
        <f t="shared" si="36"/>
        <v>0</v>
      </c>
      <c r="CY38" s="22">
        <f t="shared" si="36"/>
        <v>0</v>
      </c>
      <c r="CZ38" s="22">
        <f t="shared" si="36"/>
        <v>0</v>
      </c>
      <c r="DA38" s="22">
        <f t="shared" si="36"/>
        <v>0</v>
      </c>
      <c r="DB38" s="22">
        <f t="shared" si="36"/>
        <v>0</v>
      </c>
      <c r="DC38" s="22">
        <f t="shared" si="36"/>
        <v>0</v>
      </c>
      <c r="DD38" s="22">
        <f t="shared" si="36"/>
        <v>0</v>
      </c>
      <c r="DE38" s="22">
        <f t="shared" si="36"/>
        <v>0</v>
      </c>
      <c r="DF38" s="22">
        <f t="shared" si="36"/>
        <v>0</v>
      </c>
      <c r="DG38" s="22">
        <f t="shared" si="36"/>
        <v>0</v>
      </c>
      <c r="DH38" s="22">
        <f t="shared" si="36"/>
        <v>75082063</v>
      </c>
      <c r="DI38" s="22">
        <f t="shared" si="37"/>
        <v>0</v>
      </c>
      <c r="DJ38" s="22">
        <f t="shared" si="37"/>
        <v>0</v>
      </c>
      <c r="DK38" s="22">
        <f t="shared" si="37"/>
        <v>0</v>
      </c>
      <c r="DM38" s="57">
        <f t="shared" si="26"/>
        <v>319946741</v>
      </c>
      <c r="DN38" s="26">
        <f t="shared" si="27"/>
        <v>319946741</v>
      </c>
      <c r="DO38" s="26">
        <f t="shared" si="28"/>
        <v>319946741</v>
      </c>
      <c r="DP38" s="35"/>
    </row>
    <row r="39" spans="1:120" ht="35.25" customHeight="1" x14ac:dyDescent="0.25">
      <c r="A39" s="192" t="s">
        <v>103</v>
      </c>
      <c r="B39" s="191" t="s">
        <v>141</v>
      </c>
      <c r="C39" s="18" t="s">
        <v>142</v>
      </c>
      <c r="D39" s="19" t="s">
        <v>143</v>
      </c>
      <c r="E39" s="28">
        <v>410</v>
      </c>
      <c r="F39" s="21" t="s">
        <v>107</v>
      </c>
      <c r="G39" s="22">
        <f t="shared" si="29"/>
        <v>52000000</v>
      </c>
      <c r="H39" s="22"/>
      <c r="I39" s="22"/>
      <c r="J39" s="22">
        <v>40000000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>
        <f>12000000</f>
        <v>12000000</v>
      </c>
      <c r="W39" s="22"/>
      <c r="X39" s="22"/>
      <c r="Y39" s="22"/>
      <c r="Z39" s="22"/>
      <c r="AA39" s="22"/>
      <c r="AB39" s="23">
        <f t="shared" si="1"/>
        <v>0.66377828846153841</v>
      </c>
      <c r="AC39" s="22">
        <f t="shared" si="30"/>
        <v>34516471</v>
      </c>
      <c r="AD39" s="22"/>
      <c r="AE39" s="22"/>
      <c r="AF39" s="22">
        <f>+'[5]AGOSTO 2017'!$L$1379</f>
        <v>34516471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3">
        <f t="shared" si="3"/>
        <v>0.33622171153846159</v>
      </c>
      <c r="AY39" s="22">
        <f t="shared" si="31"/>
        <v>17483529</v>
      </c>
      <c r="AZ39" s="22">
        <f t="shared" si="32"/>
        <v>0</v>
      </c>
      <c r="BA39" s="22">
        <f t="shared" si="32"/>
        <v>0</v>
      </c>
      <c r="BB39" s="22">
        <f t="shared" si="32"/>
        <v>5483529</v>
      </c>
      <c r="BC39" s="22">
        <f t="shared" si="32"/>
        <v>0</v>
      </c>
      <c r="BD39" s="22">
        <f t="shared" si="32"/>
        <v>0</v>
      </c>
      <c r="BE39" s="22">
        <f t="shared" si="32"/>
        <v>0</v>
      </c>
      <c r="BF39" s="22">
        <f t="shared" si="32"/>
        <v>0</v>
      </c>
      <c r="BG39" s="22">
        <f t="shared" si="32"/>
        <v>0</v>
      </c>
      <c r="BH39" s="22">
        <f t="shared" si="32"/>
        <v>0</v>
      </c>
      <c r="BI39" s="22">
        <f t="shared" si="32"/>
        <v>0</v>
      </c>
      <c r="BJ39" s="22">
        <f t="shared" si="32"/>
        <v>0</v>
      </c>
      <c r="BK39" s="22">
        <f t="shared" si="32"/>
        <v>0</v>
      </c>
      <c r="BL39" s="22">
        <f t="shared" si="32"/>
        <v>0</v>
      </c>
      <c r="BM39" s="22">
        <f t="shared" si="32"/>
        <v>0</v>
      </c>
      <c r="BN39" s="22">
        <f t="shared" si="32"/>
        <v>12000000</v>
      </c>
      <c r="BO39" s="22">
        <f t="shared" si="32"/>
        <v>0</v>
      </c>
      <c r="BP39" s="22">
        <f>+X39-AT39</f>
        <v>0</v>
      </c>
      <c r="BQ39" s="22">
        <f t="shared" si="33"/>
        <v>0</v>
      </c>
      <c r="BR39" s="22">
        <f t="shared" si="33"/>
        <v>0</v>
      </c>
      <c r="BS39" s="22">
        <f t="shared" si="33"/>
        <v>0</v>
      </c>
      <c r="BT39" s="23">
        <f t="shared" si="7"/>
        <v>0.66377828846153841</v>
      </c>
      <c r="BU39" s="22">
        <f t="shared" si="34"/>
        <v>34516471</v>
      </c>
      <c r="BV39" s="22"/>
      <c r="BW39" s="22"/>
      <c r="BX39" s="22">
        <f>+'[5]AGOSTO 2017'!$H$1377</f>
        <v>34516471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3">
        <f t="shared" si="9"/>
        <v>0.33622171153846159</v>
      </c>
      <c r="CQ39" s="22">
        <f t="shared" si="35"/>
        <v>17483529</v>
      </c>
      <c r="CR39" s="22">
        <f t="shared" si="38"/>
        <v>0</v>
      </c>
      <c r="CS39" s="22">
        <f t="shared" si="36"/>
        <v>0</v>
      </c>
      <c r="CT39" s="22">
        <f t="shared" si="36"/>
        <v>5483529</v>
      </c>
      <c r="CU39" s="22">
        <f t="shared" si="36"/>
        <v>0</v>
      </c>
      <c r="CV39" s="22">
        <f t="shared" si="36"/>
        <v>0</v>
      </c>
      <c r="CW39" s="22">
        <f t="shared" si="36"/>
        <v>0</v>
      </c>
      <c r="CX39" s="22">
        <f t="shared" si="36"/>
        <v>0</v>
      </c>
      <c r="CY39" s="22">
        <f t="shared" si="36"/>
        <v>0</v>
      </c>
      <c r="CZ39" s="22">
        <f t="shared" si="36"/>
        <v>0</v>
      </c>
      <c r="DA39" s="22">
        <f t="shared" si="36"/>
        <v>0</v>
      </c>
      <c r="DB39" s="22">
        <f t="shared" si="36"/>
        <v>0</v>
      </c>
      <c r="DC39" s="22">
        <f t="shared" si="36"/>
        <v>0</v>
      </c>
      <c r="DD39" s="22">
        <f t="shared" si="36"/>
        <v>0</v>
      </c>
      <c r="DE39" s="22">
        <f t="shared" si="36"/>
        <v>0</v>
      </c>
      <c r="DF39" s="22">
        <f t="shared" si="36"/>
        <v>12000000</v>
      </c>
      <c r="DG39" s="22">
        <f t="shared" si="36"/>
        <v>0</v>
      </c>
      <c r="DH39" s="22">
        <f t="shared" si="36"/>
        <v>0</v>
      </c>
      <c r="DI39" s="22">
        <f t="shared" si="37"/>
        <v>0</v>
      </c>
      <c r="DJ39" s="22">
        <f t="shared" si="37"/>
        <v>0</v>
      </c>
      <c r="DK39" s="22">
        <f t="shared" si="37"/>
        <v>0</v>
      </c>
      <c r="DM39" s="26">
        <f t="shared" si="26"/>
        <v>52000000</v>
      </c>
      <c r="DN39" s="26">
        <f t="shared" si="27"/>
        <v>52000000</v>
      </c>
      <c r="DO39" s="26">
        <f t="shared" si="28"/>
        <v>52000000</v>
      </c>
    </row>
    <row r="40" spans="1:120" ht="31.5" customHeight="1" x14ac:dyDescent="0.25">
      <c r="A40" s="192"/>
      <c r="B40" s="189"/>
      <c r="C40" s="18" t="s">
        <v>144</v>
      </c>
      <c r="D40" s="19" t="s">
        <v>145</v>
      </c>
      <c r="E40" s="20">
        <v>410</v>
      </c>
      <c r="F40" s="21" t="s">
        <v>146</v>
      </c>
      <c r="G40" s="22">
        <f t="shared" si="29"/>
        <v>89000000</v>
      </c>
      <c r="H40" s="22"/>
      <c r="I40" s="22"/>
      <c r="J40" s="22">
        <v>70000000</v>
      </c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>
        <f>15000000</f>
        <v>15000000</v>
      </c>
      <c r="W40" s="22"/>
      <c r="X40" s="22"/>
      <c r="Y40" s="22"/>
      <c r="Z40" s="22"/>
      <c r="AA40" s="22">
        <v>4000000</v>
      </c>
      <c r="AB40" s="23">
        <f t="shared" si="1"/>
        <v>0.43536620224719103</v>
      </c>
      <c r="AC40" s="22">
        <f t="shared" si="30"/>
        <v>38747592</v>
      </c>
      <c r="AD40" s="22"/>
      <c r="AE40" s="22"/>
      <c r="AF40" s="22">
        <f>+'[5]AGOSTO 2017'!$L$1415</f>
        <v>37947592</v>
      </c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>
        <f>+'[5]AGOSTO 2017'!$AC$1415</f>
        <v>800000</v>
      </c>
      <c r="AX40" s="23">
        <f t="shared" si="3"/>
        <v>0.56463379775280897</v>
      </c>
      <c r="AY40" s="22">
        <f t="shared" si="31"/>
        <v>50252408</v>
      </c>
      <c r="AZ40" s="22">
        <f t="shared" si="32"/>
        <v>0</v>
      </c>
      <c r="BA40" s="22">
        <f t="shared" si="32"/>
        <v>0</v>
      </c>
      <c r="BB40" s="22">
        <f t="shared" si="32"/>
        <v>32052408</v>
      </c>
      <c r="BC40" s="22">
        <f t="shared" si="32"/>
        <v>0</v>
      </c>
      <c r="BD40" s="22">
        <f t="shared" si="32"/>
        <v>0</v>
      </c>
      <c r="BE40" s="22">
        <f t="shared" si="32"/>
        <v>0</v>
      </c>
      <c r="BF40" s="22">
        <f t="shared" si="32"/>
        <v>0</v>
      </c>
      <c r="BG40" s="22">
        <f t="shared" si="32"/>
        <v>0</v>
      </c>
      <c r="BH40" s="22">
        <f t="shared" si="32"/>
        <v>0</v>
      </c>
      <c r="BI40" s="22">
        <f t="shared" si="32"/>
        <v>0</v>
      </c>
      <c r="BJ40" s="22">
        <f t="shared" si="32"/>
        <v>0</v>
      </c>
      <c r="BK40" s="22">
        <f t="shared" si="32"/>
        <v>0</v>
      </c>
      <c r="BL40" s="22">
        <f t="shared" si="32"/>
        <v>0</v>
      </c>
      <c r="BM40" s="22">
        <f t="shared" si="32"/>
        <v>0</v>
      </c>
      <c r="BN40" s="22">
        <f t="shared" si="32"/>
        <v>15000000</v>
      </c>
      <c r="BO40" s="22">
        <f t="shared" ref="BO40:BO56" si="39">+W40-AS40</f>
        <v>0</v>
      </c>
      <c r="BP40" s="22">
        <f t="shared" si="33"/>
        <v>0</v>
      </c>
      <c r="BQ40" s="22">
        <f t="shared" si="33"/>
        <v>0</v>
      </c>
      <c r="BR40" s="22">
        <f t="shared" si="33"/>
        <v>0</v>
      </c>
      <c r="BS40" s="22">
        <f t="shared" si="33"/>
        <v>3200000</v>
      </c>
      <c r="BT40" s="23">
        <f t="shared" si="7"/>
        <v>0.42637743820224722</v>
      </c>
      <c r="BU40" s="22">
        <f t="shared" si="34"/>
        <v>37947592</v>
      </c>
      <c r="BV40" s="22"/>
      <c r="BW40" s="22"/>
      <c r="BX40" s="22">
        <f>+'[5]AGOSTO 2017'!$H$1413</f>
        <v>37947592</v>
      </c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3">
        <f t="shared" si="9"/>
        <v>0.57362256179775284</v>
      </c>
      <c r="CQ40" s="22">
        <f t="shared" si="35"/>
        <v>51052408</v>
      </c>
      <c r="CR40" s="22">
        <f t="shared" si="38"/>
        <v>0</v>
      </c>
      <c r="CS40" s="22">
        <f t="shared" si="36"/>
        <v>0</v>
      </c>
      <c r="CT40" s="22">
        <f t="shared" si="36"/>
        <v>32052408</v>
      </c>
      <c r="CU40" s="22">
        <f t="shared" si="36"/>
        <v>0</v>
      </c>
      <c r="CV40" s="22">
        <f t="shared" si="36"/>
        <v>0</v>
      </c>
      <c r="CW40" s="22">
        <f t="shared" si="36"/>
        <v>0</v>
      </c>
      <c r="CX40" s="22">
        <f t="shared" si="36"/>
        <v>0</v>
      </c>
      <c r="CY40" s="22">
        <f t="shared" si="36"/>
        <v>0</v>
      </c>
      <c r="CZ40" s="22">
        <f t="shared" si="36"/>
        <v>0</v>
      </c>
      <c r="DA40" s="22">
        <f t="shared" si="36"/>
        <v>0</v>
      </c>
      <c r="DB40" s="22">
        <f t="shared" si="36"/>
        <v>0</v>
      </c>
      <c r="DC40" s="22">
        <f t="shared" si="36"/>
        <v>0</v>
      </c>
      <c r="DD40" s="22">
        <f t="shared" si="36"/>
        <v>0</v>
      </c>
      <c r="DE40" s="22">
        <f t="shared" si="36"/>
        <v>0</v>
      </c>
      <c r="DF40" s="22">
        <f t="shared" si="36"/>
        <v>15000000</v>
      </c>
      <c r="DG40" s="22">
        <f t="shared" si="36"/>
        <v>0</v>
      </c>
      <c r="DH40" s="22">
        <f t="shared" ref="DH40:DH56" si="40">X40-CL40</f>
        <v>0</v>
      </c>
      <c r="DI40" s="22">
        <f t="shared" si="37"/>
        <v>0</v>
      </c>
      <c r="DJ40" s="22">
        <f t="shared" si="37"/>
        <v>0</v>
      </c>
      <c r="DK40" s="22">
        <f t="shared" si="37"/>
        <v>4000000</v>
      </c>
      <c r="DM40" s="26">
        <f t="shared" si="26"/>
        <v>89000000</v>
      </c>
      <c r="DN40" s="26">
        <f t="shared" si="27"/>
        <v>89000000</v>
      </c>
      <c r="DO40" s="26">
        <f t="shared" si="28"/>
        <v>89000000</v>
      </c>
    </row>
    <row r="41" spans="1:120" ht="23.25" customHeight="1" x14ac:dyDescent="0.25">
      <c r="A41" s="192"/>
      <c r="B41" s="189"/>
      <c r="C41" s="18" t="s">
        <v>147</v>
      </c>
      <c r="D41" s="19" t="s">
        <v>148</v>
      </c>
      <c r="E41" s="20">
        <v>410</v>
      </c>
      <c r="F41" s="21" t="s">
        <v>107</v>
      </c>
      <c r="G41" s="22">
        <f t="shared" si="29"/>
        <v>80000000</v>
      </c>
      <c r="H41" s="22"/>
      <c r="I41" s="22"/>
      <c r="J41" s="22">
        <v>80000000</v>
      </c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3">
        <f t="shared" si="1"/>
        <v>1</v>
      </c>
      <c r="AC41" s="22">
        <f t="shared" si="30"/>
        <v>80000000</v>
      </c>
      <c r="AD41" s="22"/>
      <c r="AE41" s="22"/>
      <c r="AF41" s="22">
        <f>+'[1]ENERO 2017'!$L$385</f>
        <v>80000000</v>
      </c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3">
        <f t="shared" si="3"/>
        <v>0</v>
      </c>
      <c r="AY41" s="22">
        <f t="shared" si="31"/>
        <v>0</v>
      </c>
      <c r="AZ41" s="22">
        <f t="shared" ref="AZ41:BN56" si="41">+H41-AD41</f>
        <v>0</v>
      </c>
      <c r="BA41" s="22">
        <f t="shared" si="41"/>
        <v>0</v>
      </c>
      <c r="BB41" s="22">
        <f t="shared" si="41"/>
        <v>0</v>
      </c>
      <c r="BC41" s="22">
        <f t="shared" si="41"/>
        <v>0</v>
      </c>
      <c r="BD41" s="22">
        <f t="shared" si="41"/>
        <v>0</v>
      </c>
      <c r="BE41" s="22">
        <f t="shared" si="41"/>
        <v>0</v>
      </c>
      <c r="BF41" s="22">
        <f t="shared" si="41"/>
        <v>0</v>
      </c>
      <c r="BG41" s="22">
        <f t="shared" si="41"/>
        <v>0</v>
      </c>
      <c r="BH41" s="22">
        <f t="shared" si="41"/>
        <v>0</v>
      </c>
      <c r="BI41" s="22">
        <f t="shared" si="41"/>
        <v>0</v>
      </c>
      <c r="BJ41" s="22">
        <f t="shared" si="41"/>
        <v>0</v>
      </c>
      <c r="BK41" s="22">
        <f t="shared" si="41"/>
        <v>0</v>
      </c>
      <c r="BL41" s="22">
        <f t="shared" si="41"/>
        <v>0</v>
      </c>
      <c r="BM41" s="22">
        <f t="shared" si="41"/>
        <v>0</v>
      </c>
      <c r="BN41" s="22">
        <f t="shared" si="41"/>
        <v>0</v>
      </c>
      <c r="BO41" s="22">
        <f t="shared" si="39"/>
        <v>0</v>
      </c>
      <c r="BP41" s="22">
        <f t="shared" si="33"/>
        <v>0</v>
      </c>
      <c r="BQ41" s="22">
        <f t="shared" si="33"/>
        <v>0</v>
      </c>
      <c r="BR41" s="22">
        <f t="shared" si="33"/>
        <v>0</v>
      </c>
      <c r="BS41" s="22">
        <f t="shared" si="33"/>
        <v>0</v>
      </c>
      <c r="BT41" s="23">
        <f t="shared" si="7"/>
        <v>0.76879322500000002</v>
      </c>
      <c r="BU41" s="22">
        <f t="shared" si="34"/>
        <v>61503458</v>
      </c>
      <c r="BV41" s="22"/>
      <c r="BW41" s="22"/>
      <c r="BX41" s="22">
        <f>+'[3]JUNIO 2017'!$H$966</f>
        <v>61503458</v>
      </c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3">
        <f t="shared" si="9"/>
        <v>0.23120677499999998</v>
      </c>
      <c r="CQ41" s="22">
        <f t="shared" si="35"/>
        <v>18496542</v>
      </c>
      <c r="CR41" s="22">
        <f t="shared" si="38"/>
        <v>0</v>
      </c>
      <c r="CS41" s="22">
        <f t="shared" si="38"/>
        <v>0</v>
      </c>
      <c r="CT41" s="22">
        <f t="shared" si="38"/>
        <v>18496542</v>
      </c>
      <c r="CU41" s="22">
        <f t="shared" si="38"/>
        <v>0</v>
      </c>
      <c r="CV41" s="22">
        <f t="shared" si="38"/>
        <v>0</v>
      </c>
      <c r="CW41" s="22">
        <f t="shared" si="38"/>
        <v>0</v>
      </c>
      <c r="CX41" s="22">
        <f t="shared" si="38"/>
        <v>0</v>
      </c>
      <c r="CY41" s="22">
        <f t="shared" si="38"/>
        <v>0</v>
      </c>
      <c r="CZ41" s="22">
        <f t="shared" si="38"/>
        <v>0</v>
      </c>
      <c r="DA41" s="22">
        <f t="shared" si="38"/>
        <v>0</v>
      </c>
      <c r="DB41" s="22">
        <f t="shared" si="38"/>
        <v>0</v>
      </c>
      <c r="DC41" s="22">
        <f t="shared" si="38"/>
        <v>0</v>
      </c>
      <c r="DD41" s="22">
        <f t="shared" si="38"/>
        <v>0</v>
      </c>
      <c r="DE41" s="22">
        <f t="shared" si="38"/>
        <v>0</v>
      </c>
      <c r="DF41" s="22">
        <f t="shared" si="38"/>
        <v>0</v>
      </c>
      <c r="DG41" s="22">
        <f t="shared" si="38"/>
        <v>0</v>
      </c>
      <c r="DH41" s="22">
        <f t="shared" si="40"/>
        <v>0</v>
      </c>
      <c r="DI41" s="22">
        <f t="shared" si="37"/>
        <v>0</v>
      </c>
      <c r="DJ41" s="22">
        <f t="shared" si="37"/>
        <v>0</v>
      </c>
      <c r="DK41" s="22">
        <f t="shared" si="37"/>
        <v>0</v>
      </c>
      <c r="DM41" s="26">
        <f t="shared" si="26"/>
        <v>80000000</v>
      </c>
      <c r="DN41" s="26">
        <f t="shared" si="27"/>
        <v>80000000</v>
      </c>
      <c r="DO41" s="26">
        <f t="shared" si="28"/>
        <v>80000000</v>
      </c>
    </row>
    <row r="42" spans="1:120" ht="30" x14ac:dyDescent="0.25">
      <c r="A42" s="192"/>
      <c r="B42" s="56"/>
      <c r="C42" s="18" t="s">
        <v>149</v>
      </c>
      <c r="D42" s="19" t="s">
        <v>150</v>
      </c>
      <c r="E42" s="20">
        <v>410</v>
      </c>
      <c r="F42" s="21" t="s">
        <v>151</v>
      </c>
      <c r="G42" s="22">
        <f t="shared" si="29"/>
        <v>3000000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>
        <v>3000000</v>
      </c>
      <c r="AB42" s="23">
        <f t="shared" si="1"/>
        <v>0</v>
      </c>
      <c r="AC42" s="22">
        <f t="shared" si="30"/>
        <v>0</v>
      </c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3">
        <f t="shared" si="3"/>
        <v>1</v>
      </c>
      <c r="AY42" s="22">
        <f t="shared" si="31"/>
        <v>3000000</v>
      </c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>
        <f t="shared" si="33"/>
        <v>3000000</v>
      </c>
      <c r="BT42" s="23">
        <f t="shared" si="7"/>
        <v>0</v>
      </c>
      <c r="BU42" s="22">
        <f t="shared" si="34"/>
        <v>0</v>
      </c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3">
        <f t="shared" si="9"/>
        <v>1</v>
      </c>
      <c r="CQ42" s="22">
        <f t="shared" si="35"/>
        <v>3000000</v>
      </c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>
        <f t="shared" si="37"/>
        <v>3000000</v>
      </c>
      <c r="DM42" s="26">
        <f t="shared" si="26"/>
        <v>3000000</v>
      </c>
      <c r="DN42" s="26">
        <f t="shared" si="27"/>
        <v>3000000</v>
      </c>
      <c r="DO42" s="26">
        <f t="shared" si="28"/>
        <v>3000000</v>
      </c>
    </row>
    <row r="43" spans="1:120" ht="33.75" customHeight="1" x14ac:dyDescent="0.25">
      <c r="A43" s="192"/>
      <c r="B43" s="191" t="s">
        <v>152</v>
      </c>
      <c r="C43" s="18" t="s">
        <v>153</v>
      </c>
      <c r="D43" s="19" t="s">
        <v>154</v>
      </c>
      <c r="E43" s="20">
        <v>410</v>
      </c>
      <c r="F43" s="21" t="s">
        <v>107</v>
      </c>
      <c r="G43" s="22">
        <f t="shared" si="29"/>
        <v>80000000</v>
      </c>
      <c r="H43" s="22"/>
      <c r="I43" s="22"/>
      <c r="J43" s="22">
        <v>80000000</v>
      </c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3">
        <f t="shared" si="1"/>
        <v>0.82938365000000003</v>
      </c>
      <c r="AC43" s="22">
        <f t="shared" si="30"/>
        <v>66350692</v>
      </c>
      <c r="AD43" s="22"/>
      <c r="AE43" s="22"/>
      <c r="AF43" s="22">
        <f>+'[5]AGOSTO 2017'!$L$1504</f>
        <v>66350692</v>
      </c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3">
        <f t="shared" si="3"/>
        <v>0.17061634999999997</v>
      </c>
      <c r="AY43" s="22">
        <f t="shared" si="31"/>
        <v>13649308</v>
      </c>
      <c r="AZ43" s="22">
        <f t="shared" si="41"/>
        <v>0</v>
      </c>
      <c r="BA43" s="22">
        <f t="shared" si="41"/>
        <v>0</v>
      </c>
      <c r="BB43" s="22">
        <f t="shared" si="41"/>
        <v>13649308</v>
      </c>
      <c r="BC43" s="22">
        <f t="shared" si="41"/>
        <v>0</v>
      </c>
      <c r="BD43" s="22">
        <f t="shared" si="41"/>
        <v>0</v>
      </c>
      <c r="BE43" s="22">
        <f t="shared" si="41"/>
        <v>0</v>
      </c>
      <c r="BF43" s="22">
        <f t="shared" si="41"/>
        <v>0</v>
      </c>
      <c r="BG43" s="22">
        <f t="shared" si="41"/>
        <v>0</v>
      </c>
      <c r="BH43" s="22">
        <f t="shared" si="41"/>
        <v>0</v>
      </c>
      <c r="BI43" s="22">
        <f t="shared" si="41"/>
        <v>0</v>
      </c>
      <c r="BJ43" s="22">
        <f t="shared" si="41"/>
        <v>0</v>
      </c>
      <c r="BK43" s="22">
        <f t="shared" si="41"/>
        <v>0</v>
      </c>
      <c r="BL43" s="22">
        <f t="shared" si="41"/>
        <v>0</v>
      </c>
      <c r="BM43" s="22">
        <f t="shared" si="41"/>
        <v>0</v>
      </c>
      <c r="BN43" s="22">
        <f t="shared" si="41"/>
        <v>0</v>
      </c>
      <c r="BO43" s="22">
        <f t="shared" si="39"/>
        <v>0</v>
      </c>
      <c r="BP43" s="22">
        <f t="shared" si="33"/>
        <v>0</v>
      </c>
      <c r="BQ43" s="22">
        <f t="shared" si="33"/>
        <v>0</v>
      </c>
      <c r="BR43" s="22">
        <f t="shared" si="33"/>
        <v>0</v>
      </c>
      <c r="BS43" s="22">
        <f t="shared" si="33"/>
        <v>0</v>
      </c>
      <c r="BT43" s="23">
        <f t="shared" si="7"/>
        <v>0.56646039999999998</v>
      </c>
      <c r="BU43" s="22">
        <f t="shared" si="34"/>
        <v>45316832</v>
      </c>
      <c r="BV43" s="22"/>
      <c r="BW43" s="22"/>
      <c r="BX43" s="22">
        <f>+'[5]AGOSTO 2017'!$H$1502</f>
        <v>45316832</v>
      </c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3">
        <f t="shared" si="9"/>
        <v>0.43353960000000002</v>
      </c>
      <c r="CQ43" s="22">
        <f t="shared" si="35"/>
        <v>34683168</v>
      </c>
      <c r="CR43" s="22">
        <f t="shared" si="38"/>
        <v>0</v>
      </c>
      <c r="CS43" s="22">
        <f t="shared" si="38"/>
        <v>0</v>
      </c>
      <c r="CT43" s="22">
        <f t="shared" si="38"/>
        <v>34683168</v>
      </c>
      <c r="CU43" s="22">
        <f t="shared" si="38"/>
        <v>0</v>
      </c>
      <c r="CV43" s="22">
        <f t="shared" si="38"/>
        <v>0</v>
      </c>
      <c r="CW43" s="22">
        <f t="shared" si="38"/>
        <v>0</v>
      </c>
      <c r="CX43" s="22">
        <f t="shared" si="38"/>
        <v>0</v>
      </c>
      <c r="CY43" s="22">
        <f t="shared" si="38"/>
        <v>0</v>
      </c>
      <c r="CZ43" s="22">
        <f t="shared" si="38"/>
        <v>0</v>
      </c>
      <c r="DA43" s="22">
        <f t="shared" si="38"/>
        <v>0</v>
      </c>
      <c r="DB43" s="22">
        <f t="shared" si="38"/>
        <v>0</v>
      </c>
      <c r="DC43" s="22">
        <f t="shared" si="38"/>
        <v>0</v>
      </c>
      <c r="DD43" s="22">
        <f t="shared" si="38"/>
        <v>0</v>
      </c>
      <c r="DE43" s="22">
        <f t="shared" si="38"/>
        <v>0</v>
      </c>
      <c r="DF43" s="22">
        <f t="shared" si="38"/>
        <v>0</v>
      </c>
      <c r="DG43" s="22">
        <f t="shared" si="38"/>
        <v>0</v>
      </c>
      <c r="DH43" s="22">
        <f t="shared" si="40"/>
        <v>0</v>
      </c>
      <c r="DI43" s="22">
        <f t="shared" si="37"/>
        <v>0</v>
      </c>
      <c r="DJ43" s="22">
        <f t="shared" si="37"/>
        <v>0</v>
      </c>
      <c r="DK43" s="22">
        <f t="shared" si="37"/>
        <v>0</v>
      </c>
      <c r="DM43" s="26">
        <f t="shared" si="26"/>
        <v>80000000</v>
      </c>
      <c r="DN43" s="26">
        <f t="shared" si="27"/>
        <v>80000000</v>
      </c>
      <c r="DO43" s="26">
        <f t="shared" si="28"/>
        <v>80000000</v>
      </c>
    </row>
    <row r="44" spans="1:120" ht="42" customHeight="1" x14ac:dyDescent="0.25">
      <c r="A44" s="192"/>
      <c r="B44" s="189"/>
      <c r="C44" s="18" t="s">
        <v>155</v>
      </c>
      <c r="D44" s="31" t="s">
        <v>156</v>
      </c>
      <c r="E44" s="20">
        <v>410</v>
      </c>
      <c r="F44" s="21" t="s">
        <v>157</v>
      </c>
      <c r="G44" s="22">
        <f t="shared" si="29"/>
        <v>35000000</v>
      </c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>
        <v>35000000</v>
      </c>
      <c r="AB44" s="23">
        <f t="shared" si="1"/>
        <v>0.66704234285714281</v>
      </c>
      <c r="AC44" s="22">
        <f t="shared" si="30"/>
        <v>23346482</v>
      </c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>
        <f>+'[5]AGOSTO 2017'!$AC$1534</f>
        <v>23346482</v>
      </c>
      <c r="AX44" s="23">
        <f t="shared" si="3"/>
        <v>0.33295765714285719</v>
      </c>
      <c r="AY44" s="22">
        <f t="shared" si="31"/>
        <v>11653518</v>
      </c>
      <c r="AZ44" s="22">
        <f t="shared" si="41"/>
        <v>0</v>
      </c>
      <c r="BA44" s="22">
        <f t="shared" si="41"/>
        <v>0</v>
      </c>
      <c r="BB44" s="22">
        <f t="shared" si="41"/>
        <v>0</v>
      </c>
      <c r="BC44" s="22">
        <f t="shared" si="41"/>
        <v>0</v>
      </c>
      <c r="BD44" s="22">
        <f t="shared" si="41"/>
        <v>0</v>
      </c>
      <c r="BE44" s="22">
        <f t="shared" si="41"/>
        <v>0</v>
      </c>
      <c r="BF44" s="22">
        <f t="shared" si="41"/>
        <v>0</v>
      </c>
      <c r="BG44" s="22">
        <f t="shared" si="41"/>
        <v>0</v>
      </c>
      <c r="BH44" s="22">
        <f t="shared" si="41"/>
        <v>0</v>
      </c>
      <c r="BI44" s="22">
        <f t="shared" si="41"/>
        <v>0</v>
      </c>
      <c r="BJ44" s="22">
        <f t="shared" si="41"/>
        <v>0</v>
      </c>
      <c r="BK44" s="22">
        <f t="shared" si="41"/>
        <v>0</v>
      </c>
      <c r="BL44" s="22">
        <f t="shared" si="41"/>
        <v>0</v>
      </c>
      <c r="BM44" s="22">
        <f t="shared" si="41"/>
        <v>0</v>
      </c>
      <c r="BN44" s="22">
        <f t="shared" si="41"/>
        <v>0</v>
      </c>
      <c r="BO44" s="22">
        <f t="shared" si="39"/>
        <v>0</v>
      </c>
      <c r="BP44" s="22">
        <f t="shared" si="33"/>
        <v>0</v>
      </c>
      <c r="BQ44" s="22">
        <f t="shared" si="33"/>
        <v>0</v>
      </c>
      <c r="BR44" s="22">
        <f t="shared" si="33"/>
        <v>0</v>
      </c>
      <c r="BS44" s="22">
        <f t="shared" si="33"/>
        <v>11653518</v>
      </c>
      <c r="BT44" s="23">
        <f t="shared" si="7"/>
        <v>0.66704234285714281</v>
      </c>
      <c r="BU44" s="22">
        <f t="shared" si="34"/>
        <v>23346482</v>
      </c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>
        <f>+'[5]AGOSTO 2017'!$H$1532</f>
        <v>23346482</v>
      </c>
      <c r="CP44" s="23">
        <f t="shared" si="9"/>
        <v>0.33295765714285719</v>
      </c>
      <c r="CQ44" s="22">
        <f t="shared" si="35"/>
        <v>11653518</v>
      </c>
      <c r="CR44" s="22">
        <f t="shared" si="38"/>
        <v>0</v>
      </c>
      <c r="CS44" s="22">
        <f t="shared" si="38"/>
        <v>0</v>
      </c>
      <c r="CT44" s="22">
        <f t="shared" si="38"/>
        <v>0</v>
      </c>
      <c r="CU44" s="22">
        <f t="shared" si="38"/>
        <v>0</v>
      </c>
      <c r="CV44" s="22">
        <f t="shared" si="38"/>
        <v>0</v>
      </c>
      <c r="CW44" s="22">
        <f t="shared" si="38"/>
        <v>0</v>
      </c>
      <c r="CX44" s="22">
        <f t="shared" si="38"/>
        <v>0</v>
      </c>
      <c r="CY44" s="22">
        <f t="shared" si="38"/>
        <v>0</v>
      </c>
      <c r="CZ44" s="22">
        <f t="shared" si="38"/>
        <v>0</v>
      </c>
      <c r="DA44" s="22">
        <f t="shared" si="38"/>
        <v>0</v>
      </c>
      <c r="DB44" s="22">
        <f t="shared" si="38"/>
        <v>0</v>
      </c>
      <c r="DC44" s="22">
        <f t="shared" si="38"/>
        <v>0</v>
      </c>
      <c r="DD44" s="22">
        <f t="shared" si="38"/>
        <v>0</v>
      </c>
      <c r="DE44" s="22">
        <f t="shared" si="38"/>
        <v>0</v>
      </c>
      <c r="DF44" s="22">
        <f t="shared" si="38"/>
        <v>0</v>
      </c>
      <c r="DG44" s="22">
        <f t="shared" si="38"/>
        <v>0</v>
      </c>
      <c r="DH44" s="22">
        <f t="shared" si="40"/>
        <v>0</v>
      </c>
      <c r="DI44" s="22">
        <f t="shared" si="37"/>
        <v>0</v>
      </c>
      <c r="DJ44" s="22">
        <f t="shared" si="37"/>
        <v>0</v>
      </c>
      <c r="DK44" s="22">
        <f t="shared" si="37"/>
        <v>11653518</v>
      </c>
      <c r="DM44" s="26">
        <f t="shared" si="26"/>
        <v>35000000</v>
      </c>
      <c r="DN44" s="26">
        <f t="shared" si="27"/>
        <v>35000000</v>
      </c>
      <c r="DO44" s="26">
        <f t="shared" si="28"/>
        <v>35000000</v>
      </c>
    </row>
    <row r="45" spans="1:120" ht="25.5" customHeight="1" x14ac:dyDescent="0.25">
      <c r="A45" s="192"/>
      <c r="B45" s="191" t="s">
        <v>158</v>
      </c>
      <c r="C45" s="18" t="s">
        <v>159</v>
      </c>
      <c r="D45" s="19" t="s">
        <v>160</v>
      </c>
      <c r="E45" s="20">
        <v>410</v>
      </c>
      <c r="F45" s="21" t="s">
        <v>107</v>
      </c>
      <c r="G45" s="22">
        <f t="shared" si="29"/>
        <v>3157557814</v>
      </c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>
        <f>2500000000+657557814</f>
        <v>3157557814</v>
      </c>
      <c r="T45" s="22"/>
      <c r="U45" s="22"/>
      <c r="V45" s="22"/>
      <c r="W45" s="22"/>
      <c r="X45" s="22"/>
      <c r="Y45" s="22"/>
      <c r="Z45" s="22"/>
      <c r="AA45" s="22"/>
      <c r="AB45" s="23">
        <f t="shared" si="1"/>
        <v>0.68741522969941726</v>
      </c>
      <c r="AC45" s="22">
        <f t="shared" si="30"/>
        <v>2170553330</v>
      </c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>
        <f>+'[6]JULIO 2017'!$U$1278</f>
        <v>2170553330</v>
      </c>
      <c r="AP45" s="22"/>
      <c r="AQ45" s="22"/>
      <c r="AR45" s="22"/>
      <c r="AS45" s="22"/>
      <c r="AT45" s="22"/>
      <c r="AU45" s="22"/>
      <c r="AV45" s="22"/>
      <c r="AW45" s="22"/>
      <c r="AX45" s="23">
        <f t="shared" si="3"/>
        <v>0.31258477030058274</v>
      </c>
      <c r="AY45" s="22">
        <f t="shared" si="31"/>
        <v>987004484</v>
      </c>
      <c r="AZ45" s="22">
        <f t="shared" si="41"/>
        <v>0</v>
      </c>
      <c r="BA45" s="22">
        <f t="shared" si="41"/>
        <v>0</v>
      </c>
      <c r="BB45" s="22">
        <f t="shared" si="41"/>
        <v>0</v>
      </c>
      <c r="BC45" s="22">
        <f t="shared" si="41"/>
        <v>0</v>
      </c>
      <c r="BD45" s="22">
        <f t="shared" si="41"/>
        <v>0</v>
      </c>
      <c r="BE45" s="22">
        <f t="shared" si="41"/>
        <v>0</v>
      </c>
      <c r="BF45" s="22">
        <f t="shared" si="41"/>
        <v>0</v>
      </c>
      <c r="BG45" s="22">
        <f t="shared" si="41"/>
        <v>0</v>
      </c>
      <c r="BH45" s="22">
        <f t="shared" si="41"/>
        <v>0</v>
      </c>
      <c r="BI45" s="22">
        <f t="shared" si="41"/>
        <v>0</v>
      </c>
      <c r="BJ45" s="22">
        <f t="shared" si="41"/>
        <v>0</v>
      </c>
      <c r="BK45" s="22">
        <f t="shared" si="41"/>
        <v>987004484</v>
      </c>
      <c r="BL45" s="22">
        <f t="shared" si="41"/>
        <v>0</v>
      </c>
      <c r="BM45" s="22">
        <f t="shared" si="41"/>
        <v>0</v>
      </c>
      <c r="BN45" s="22">
        <f t="shared" si="41"/>
        <v>0</v>
      </c>
      <c r="BO45" s="22">
        <f t="shared" si="39"/>
        <v>0</v>
      </c>
      <c r="BP45" s="22">
        <f t="shared" si="33"/>
        <v>0</v>
      </c>
      <c r="BQ45" s="22">
        <f t="shared" si="33"/>
        <v>0</v>
      </c>
      <c r="BR45" s="22">
        <f t="shared" si="33"/>
        <v>0</v>
      </c>
      <c r="BS45" s="22">
        <f t="shared" si="33"/>
        <v>0</v>
      </c>
      <c r="BT45" s="23">
        <f t="shared" si="7"/>
        <v>0.60288933477624684</v>
      </c>
      <c r="BU45" s="22">
        <f t="shared" si="34"/>
        <v>1903657930</v>
      </c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>
        <f>+'[5]AGOSTO 2017'!$H$1554</f>
        <v>1903657930</v>
      </c>
      <c r="CH45" s="22"/>
      <c r="CI45" s="22"/>
      <c r="CJ45" s="22"/>
      <c r="CK45" s="22"/>
      <c r="CL45" s="22"/>
      <c r="CM45" s="22"/>
      <c r="CN45" s="22"/>
      <c r="CO45" s="22"/>
      <c r="CP45" s="23">
        <f t="shared" si="9"/>
        <v>0.39711066522375316</v>
      </c>
      <c r="CQ45" s="22">
        <f t="shared" si="35"/>
        <v>1253899884</v>
      </c>
      <c r="CR45" s="22">
        <f t="shared" si="38"/>
        <v>0</v>
      </c>
      <c r="CS45" s="22">
        <f t="shared" si="38"/>
        <v>0</v>
      </c>
      <c r="CT45" s="22">
        <f t="shared" si="38"/>
        <v>0</v>
      </c>
      <c r="CU45" s="22">
        <f t="shared" si="38"/>
        <v>0</v>
      </c>
      <c r="CV45" s="22">
        <f t="shared" si="38"/>
        <v>0</v>
      </c>
      <c r="CW45" s="22">
        <f t="shared" si="38"/>
        <v>0</v>
      </c>
      <c r="CX45" s="22">
        <f t="shared" si="38"/>
        <v>0</v>
      </c>
      <c r="CY45" s="22">
        <f t="shared" si="38"/>
        <v>0</v>
      </c>
      <c r="CZ45" s="22">
        <f t="shared" si="38"/>
        <v>0</v>
      </c>
      <c r="DA45" s="22">
        <f t="shared" si="38"/>
        <v>0</v>
      </c>
      <c r="DB45" s="22">
        <f t="shared" si="38"/>
        <v>0</v>
      </c>
      <c r="DC45" s="22">
        <f t="shared" si="38"/>
        <v>1253899884</v>
      </c>
      <c r="DD45" s="22">
        <f t="shared" si="38"/>
        <v>0</v>
      </c>
      <c r="DE45" s="22">
        <f t="shared" si="38"/>
        <v>0</v>
      </c>
      <c r="DF45" s="22">
        <f t="shared" si="38"/>
        <v>0</v>
      </c>
      <c r="DG45" s="22">
        <f t="shared" si="38"/>
        <v>0</v>
      </c>
      <c r="DH45" s="22">
        <f t="shared" si="40"/>
        <v>0</v>
      </c>
      <c r="DI45" s="22">
        <f t="shared" si="37"/>
        <v>0</v>
      </c>
      <c r="DJ45" s="22">
        <f t="shared" si="37"/>
        <v>0</v>
      </c>
      <c r="DK45" s="22">
        <f t="shared" si="37"/>
        <v>0</v>
      </c>
      <c r="DM45" s="26">
        <f t="shared" si="26"/>
        <v>3157557814</v>
      </c>
      <c r="DN45" s="26">
        <f t="shared" si="27"/>
        <v>3157557814</v>
      </c>
      <c r="DO45" s="26">
        <f t="shared" si="28"/>
        <v>3157557814</v>
      </c>
    </row>
    <row r="46" spans="1:120" ht="41.25" customHeight="1" x14ac:dyDescent="0.25">
      <c r="A46" s="192"/>
      <c r="B46" s="189"/>
      <c r="C46" s="18" t="s">
        <v>161</v>
      </c>
      <c r="D46" s="19" t="s">
        <v>162</v>
      </c>
      <c r="E46" s="20">
        <v>410</v>
      </c>
      <c r="F46" s="21" t="s">
        <v>107</v>
      </c>
      <c r="G46" s="22">
        <f t="shared" si="29"/>
        <v>252000000</v>
      </c>
      <c r="H46" s="22"/>
      <c r="I46" s="22">
        <f>50000000+25000000+7000000</f>
        <v>82000000</v>
      </c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>
        <f>80000000+90000000</f>
        <v>170000000</v>
      </c>
      <c r="W46" s="22"/>
      <c r="X46" s="22"/>
      <c r="Y46" s="22"/>
      <c r="Z46" s="22"/>
      <c r="AA46" s="22"/>
      <c r="AB46" s="23">
        <f t="shared" si="1"/>
        <v>0.99852913492063489</v>
      </c>
      <c r="AC46" s="22">
        <f t="shared" si="30"/>
        <v>251629342</v>
      </c>
      <c r="AD46" s="22"/>
      <c r="AE46" s="22">
        <f>+'[6]JULIO 2017'!$K$1735</f>
        <v>81629342</v>
      </c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>
        <f>+'[6]JULIO 2017'!$X$1735</f>
        <v>170000000</v>
      </c>
      <c r="AS46" s="22"/>
      <c r="AT46" s="22"/>
      <c r="AU46" s="22"/>
      <c r="AV46" s="22"/>
      <c r="AW46" s="22"/>
      <c r="AX46" s="23">
        <f t="shared" si="3"/>
        <v>1.4708650793651135E-3</v>
      </c>
      <c r="AY46" s="22">
        <f t="shared" si="31"/>
        <v>370658</v>
      </c>
      <c r="AZ46" s="22">
        <f t="shared" si="41"/>
        <v>0</v>
      </c>
      <c r="BA46" s="22">
        <f t="shared" si="41"/>
        <v>370658</v>
      </c>
      <c r="BB46" s="22">
        <f t="shared" si="41"/>
        <v>0</v>
      </c>
      <c r="BC46" s="22">
        <f t="shared" si="41"/>
        <v>0</v>
      </c>
      <c r="BD46" s="22">
        <f t="shared" si="41"/>
        <v>0</v>
      </c>
      <c r="BE46" s="22">
        <f t="shared" si="41"/>
        <v>0</v>
      </c>
      <c r="BF46" s="22">
        <f t="shared" si="41"/>
        <v>0</v>
      </c>
      <c r="BG46" s="22">
        <f t="shared" si="41"/>
        <v>0</v>
      </c>
      <c r="BH46" s="22">
        <f t="shared" si="41"/>
        <v>0</v>
      </c>
      <c r="BI46" s="22">
        <f t="shared" si="41"/>
        <v>0</v>
      </c>
      <c r="BJ46" s="22">
        <f t="shared" si="41"/>
        <v>0</v>
      </c>
      <c r="BK46" s="22">
        <f t="shared" si="41"/>
        <v>0</v>
      </c>
      <c r="BL46" s="22">
        <f t="shared" si="41"/>
        <v>0</v>
      </c>
      <c r="BM46" s="22">
        <f t="shared" si="41"/>
        <v>0</v>
      </c>
      <c r="BN46" s="22">
        <f t="shared" si="41"/>
        <v>0</v>
      </c>
      <c r="BO46" s="22">
        <f t="shared" si="39"/>
        <v>0</v>
      </c>
      <c r="BP46" s="22">
        <f t="shared" si="33"/>
        <v>0</v>
      </c>
      <c r="BQ46" s="22">
        <f t="shared" si="33"/>
        <v>0</v>
      </c>
      <c r="BR46" s="22">
        <f t="shared" si="33"/>
        <v>0</v>
      </c>
      <c r="BS46" s="22">
        <f t="shared" si="33"/>
        <v>0</v>
      </c>
      <c r="BT46" s="23">
        <f t="shared" si="7"/>
        <v>0.32392584126984125</v>
      </c>
      <c r="BU46" s="22">
        <f t="shared" si="34"/>
        <v>81629312</v>
      </c>
      <c r="BV46" s="22"/>
      <c r="BW46" s="22">
        <f>+'[6]JULIO 2017'!$H$1733</f>
        <v>81629312</v>
      </c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3">
        <f t="shared" si="9"/>
        <v>0.67607415873015875</v>
      </c>
      <c r="CQ46" s="22">
        <f t="shared" si="35"/>
        <v>170370688</v>
      </c>
      <c r="CR46" s="22">
        <f t="shared" si="38"/>
        <v>0</v>
      </c>
      <c r="CS46" s="22">
        <f t="shared" si="38"/>
        <v>370688</v>
      </c>
      <c r="CT46" s="22">
        <f t="shared" si="38"/>
        <v>0</v>
      </c>
      <c r="CU46" s="22">
        <f t="shared" si="38"/>
        <v>0</v>
      </c>
      <c r="CV46" s="22">
        <f t="shared" si="38"/>
        <v>0</v>
      </c>
      <c r="CW46" s="22">
        <f t="shared" si="38"/>
        <v>0</v>
      </c>
      <c r="CX46" s="22">
        <f t="shared" si="38"/>
        <v>0</v>
      </c>
      <c r="CY46" s="22">
        <f t="shared" si="38"/>
        <v>0</v>
      </c>
      <c r="CZ46" s="22">
        <f t="shared" si="38"/>
        <v>0</v>
      </c>
      <c r="DA46" s="22">
        <f t="shared" si="38"/>
        <v>0</v>
      </c>
      <c r="DB46" s="22">
        <f t="shared" si="38"/>
        <v>0</v>
      </c>
      <c r="DC46" s="22">
        <f t="shared" si="38"/>
        <v>0</v>
      </c>
      <c r="DD46" s="22">
        <f t="shared" si="38"/>
        <v>0</v>
      </c>
      <c r="DE46" s="22">
        <f t="shared" si="38"/>
        <v>0</v>
      </c>
      <c r="DF46" s="22">
        <f t="shared" si="38"/>
        <v>170000000</v>
      </c>
      <c r="DG46" s="22">
        <f t="shared" si="38"/>
        <v>0</v>
      </c>
      <c r="DH46" s="22">
        <f t="shared" si="40"/>
        <v>0</v>
      </c>
      <c r="DI46" s="22">
        <f t="shared" si="37"/>
        <v>0</v>
      </c>
      <c r="DJ46" s="22">
        <f t="shared" si="37"/>
        <v>0</v>
      </c>
      <c r="DK46" s="22">
        <f t="shared" si="37"/>
        <v>0</v>
      </c>
      <c r="DM46" s="26">
        <f t="shared" si="26"/>
        <v>252000000</v>
      </c>
      <c r="DN46" s="26">
        <f t="shared" si="27"/>
        <v>252000000</v>
      </c>
      <c r="DO46" s="26">
        <f t="shared" si="28"/>
        <v>252000000</v>
      </c>
    </row>
    <row r="47" spans="1:120" ht="54.75" customHeight="1" x14ac:dyDescent="0.25">
      <c r="A47" s="58"/>
      <c r="B47" s="59" t="s">
        <v>163</v>
      </c>
      <c r="C47" s="18" t="s">
        <v>164</v>
      </c>
      <c r="D47" s="19" t="s">
        <v>165</v>
      </c>
      <c r="E47" s="20">
        <v>410</v>
      </c>
      <c r="F47" s="21" t="s">
        <v>107</v>
      </c>
      <c r="G47" s="22">
        <f t="shared" si="29"/>
        <v>1000000</v>
      </c>
      <c r="H47" s="49"/>
      <c r="I47" s="22"/>
      <c r="J47" s="22"/>
      <c r="K47" s="49"/>
      <c r="L47" s="49"/>
      <c r="M47" s="22"/>
      <c r="N47" s="22"/>
      <c r="O47" s="22"/>
      <c r="P47" s="22"/>
      <c r="Q47" s="22"/>
      <c r="R47" s="22"/>
      <c r="S47" s="22"/>
      <c r="T47" s="22"/>
      <c r="U47" s="22"/>
      <c r="V47" s="22">
        <v>1000000</v>
      </c>
      <c r="W47" s="22"/>
      <c r="X47" s="22"/>
      <c r="Y47" s="22"/>
      <c r="Z47" s="22"/>
      <c r="AA47" s="22"/>
      <c r="AB47" s="23">
        <f>+AC47/G47</f>
        <v>0</v>
      </c>
      <c r="AC47" s="22">
        <f t="shared" si="30"/>
        <v>0</v>
      </c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3">
        <f t="shared" si="3"/>
        <v>1</v>
      </c>
      <c r="AY47" s="22">
        <f t="shared" si="31"/>
        <v>1000000</v>
      </c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>
        <f t="shared" si="41"/>
        <v>1000000</v>
      </c>
      <c r="BO47" s="22"/>
      <c r="BP47" s="22"/>
      <c r="BQ47" s="22"/>
      <c r="BR47" s="22"/>
      <c r="BS47" s="22"/>
      <c r="BT47" s="23">
        <f t="shared" si="7"/>
        <v>0</v>
      </c>
      <c r="BU47" s="22">
        <f t="shared" si="34"/>
        <v>0</v>
      </c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3">
        <f t="shared" si="9"/>
        <v>1</v>
      </c>
      <c r="CQ47" s="22">
        <f t="shared" si="35"/>
        <v>1000000</v>
      </c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>
        <f t="shared" si="38"/>
        <v>1000000</v>
      </c>
      <c r="DG47" s="22"/>
      <c r="DH47" s="22"/>
      <c r="DI47" s="22"/>
      <c r="DJ47" s="22"/>
      <c r="DK47" s="22"/>
      <c r="DM47" s="26">
        <f t="shared" si="26"/>
        <v>1000000</v>
      </c>
      <c r="DN47" s="26">
        <f t="shared" si="27"/>
        <v>1000000</v>
      </c>
      <c r="DO47" s="26">
        <f t="shared" si="28"/>
        <v>1000000</v>
      </c>
    </row>
    <row r="48" spans="1:120" ht="90" x14ac:dyDescent="0.25">
      <c r="A48" s="58"/>
      <c r="B48" s="56" t="s">
        <v>166</v>
      </c>
      <c r="C48" s="18" t="s">
        <v>167</v>
      </c>
      <c r="D48" s="19" t="s">
        <v>168</v>
      </c>
      <c r="E48" s="20">
        <v>410</v>
      </c>
      <c r="F48" s="21" t="s">
        <v>107</v>
      </c>
      <c r="G48" s="22">
        <f>SUM(H48:AA48)</f>
        <v>1000000</v>
      </c>
      <c r="H48" s="49"/>
      <c r="I48" s="22"/>
      <c r="J48" s="22"/>
      <c r="K48" s="49"/>
      <c r="L48" s="49"/>
      <c r="M48" s="22"/>
      <c r="N48" s="22"/>
      <c r="O48" s="22"/>
      <c r="P48" s="22"/>
      <c r="Q48" s="22"/>
      <c r="R48" s="22"/>
      <c r="S48" s="22"/>
      <c r="T48" s="22"/>
      <c r="U48" s="22"/>
      <c r="V48" s="22">
        <v>1000000</v>
      </c>
      <c r="W48" s="22"/>
      <c r="X48" s="22"/>
      <c r="Y48" s="22"/>
      <c r="Z48" s="22"/>
      <c r="AA48" s="22"/>
      <c r="AB48" s="23">
        <f>+AC48/G48</f>
        <v>0</v>
      </c>
      <c r="AC48" s="22">
        <f t="shared" si="30"/>
        <v>0</v>
      </c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3">
        <f t="shared" si="3"/>
        <v>1</v>
      </c>
      <c r="AY48" s="22">
        <f t="shared" si="31"/>
        <v>1000000</v>
      </c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>
        <f t="shared" si="41"/>
        <v>1000000</v>
      </c>
      <c r="BO48" s="22"/>
      <c r="BP48" s="22"/>
      <c r="BQ48" s="22"/>
      <c r="BR48" s="22"/>
      <c r="BS48" s="22"/>
      <c r="BT48" s="23">
        <f t="shared" si="7"/>
        <v>0</v>
      </c>
      <c r="BU48" s="22">
        <f t="shared" si="34"/>
        <v>0</v>
      </c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3">
        <f t="shared" si="9"/>
        <v>1</v>
      </c>
      <c r="CQ48" s="22">
        <f t="shared" si="35"/>
        <v>1000000</v>
      </c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>
        <f t="shared" si="38"/>
        <v>1000000</v>
      </c>
      <c r="DG48" s="22"/>
      <c r="DH48" s="22"/>
      <c r="DI48" s="22"/>
      <c r="DJ48" s="22"/>
      <c r="DK48" s="22"/>
      <c r="DM48" s="26">
        <f t="shared" si="26"/>
        <v>1000000</v>
      </c>
      <c r="DN48" s="26">
        <f t="shared" si="27"/>
        <v>1000000</v>
      </c>
      <c r="DO48" s="26">
        <f t="shared" si="28"/>
        <v>1000000</v>
      </c>
    </row>
    <row r="49" spans="1:119" ht="36" customHeight="1" x14ac:dyDescent="0.25">
      <c r="A49" s="192"/>
      <c r="B49" s="191" t="s">
        <v>169</v>
      </c>
      <c r="C49" s="18" t="s">
        <v>170</v>
      </c>
      <c r="D49" s="19" t="s">
        <v>171</v>
      </c>
      <c r="E49" s="20">
        <v>410</v>
      </c>
      <c r="F49" s="21" t="s">
        <v>107</v>
      </c>
      <c r="G49" s="22">
        <f t="shared" si="29"/>
        <v>80000000</v>
      </c>
      <c r="H49" s="49"/>
      <c r="I49" s="22">
        <v>50000000</v>
      </c>
      <c r="J49" s="22"/>
      <c r="K49" s="49"/>
      <c r="L49" s="49"/>
      <c r="M49" s="33"/>
      <c r="N49" s="33"/>
      <c r="O49" s="33"/>
      <c r="P49" s="33"/>
      <c r="Q49" s="22"/>
      <c r="R49" s="22"/>
      <c r="S49" s="22"/>
      <c r="T49" s="22"/>
      <c r="U49" s="22"/>
      <c r="V49" s="22">
        <v>30000000</v>
      </c>
      <c r="W49" s="22"/>
      <c r="X49" s="22"/>
      <c r="Y49" s="22"/>
      <c r="Z49" s="22"/>
      <c r="AA49" s="22"/>
      <c r="AB49" s="23">
        <f t="shared" si="1"/>
        <v>0.68225716250000001</v>
      </c>
      <c r="AC49" s="22">
        <f t="shared" si="30"/>
        <v>54580573</v>
      </c>
      <c r="AD49" s="22"/>
      <c r="AE49" s="22">
        <f>+'[6]JULIO 2017'!$K$1774</f>
        <v>48967535</v>
      </c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>
        <f>+'[5]AGOSTO 2017'!$X$2060</f>
        <v>5613038</v>
      </c>
      <c r="AS49" s="22"/>
      <c r="AT49" s="22"/>
      <c r="AU49" s="22"/>
      <c r="AV49" s="22"/>
      <c r="AW49" s="22"/>
      <c r="AX49" s="23">
        <f t="shared" si="3"/>
        <v>0.31774283749999999</v>
      </c>
      <c r="AY49" s="22">
        <f t="shared" si="31"/>
        <v>25419427</v>
      </c>
      <c r="AZ49" s="22">
        <f t="shared" si="41"/>
        <v>0</v>
      </c>
      <c r="BA49" s="22">
        <f t="shared" si="41"/>
        <v>1032465</v>
      </c>
      <c r="BB49" s="22">
        <f t="shared" si="41"/>
        <v>0</v>
      </c>
      <c r="BC49" s="22">
        <f t="shared" si="41"/>
        <v>0</v>
      </c>
      <c r="BD49" s="22">
        <f t="shared" si="41"/>
        <v>0</v>
      </c>
      <c r="BE49" s="22">
        <f t="shared" si="41"/>
        <v>0</v>
      </c>
      <c r="BF49" s="22">
        <f t="shared" si="41"/>
        <v>0</v>
      </c>
      <c r="BG49" s="22">
        <f t="shared" si="41"/>
        <v>0</v>
      </c>
      <c r="BH49" s="22">
        <f t="shared" si="41"/>
        <v>0</v>
      </c>
      <c r="BI49" s="22">
        <f t="shared" si="41"/>
        <v>0</v>
      </c>
      <c r="BJ49" s="22">
        <f t="shared" si="41"/>
        <v>0</v>
      </c>
      <c r="BK49" s="22">
        <f t="shared" si="41"/>
        <v>0</v>
      </c>
      <c r="BL49" s="22">
        <f t="shared" si="41"/>
        <v>0</v>
      </c>
      <c r="BM49" s="22">
        <f t="shared" si="41"/>
        <v>0</v>
      </c>
      <c r="BN49" s="22">
        <f t="shared" si="41"/>
        <v>24386962</v>
      </c>
      <c r="BO49" s="22">
        <f t="shared" si="39"/>
        <v>0</v>
      </c>
      <c r="BP49" s="22">
        <f t="shared" si="33"/>
        <v>0</v>
      </c>
      <c r="BQ49" s="22">
        <f t="shared" si="33"/>
        <v>0</v>
      </c>
      <c r="BR49" s="22">
        <f t="shared" si="33"/>
        <v>0</v>
      </c>
      <c r="BS49" s="22">
        <f t="shared" si="33"/>
        <v>0</v>
      </c>
      <c r="BT49" s="23">
        <f t="shared" si="7"/>
        <v>0.68225716250000001</v>
      </c>
      <c r="BU49" s="22">
        <f t="shared" si="34"/>
        <v>54580573</v>
      </c>
      <c r="BV49" s="22"/>
      <c r="BW49" s="22">
        <f>+'[6]JULIO 2017'!$K$1774</f>
        <v>48967535</v>
      </c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>
        <f>+'[5]AGOSTO 2017'!$H$2058-BW49</f>
        <v>5613038</v>
      </c>
      <c r="CK49" s="22"/>
      <c r="CL49" s="22"/>
      <c r="CM49" s="22"/>
      <c r="CN49" s="22"/>
      <c r="CO49" s="22"/>
      <c r="CP49" s="23">
        <f t="shared" si="9"/>
        <v>0.31774283749999999</v>
      </c>
      <c r="CQ49" s="22">
        <f t="shared" si="35"/>
        <v>25419427</v>
      </c>
      <c r="CR49" s="22">
        <f t="shared" si="38"/>
        <v>0</v>
      </c>
      <c r="CS49" s="22">
        <f t="shared" si="38"/>
        <v>1032465</v>
      </c>
      <c r="CT49" s="22">
        <f t="shared" si="38"/>
        <v>0</v>
      </c>
      <c r="CU49" s="22">
        <f t="shared" si="38"/>
        <v>0</v>
      </c>
      <c r="CV49" s="22">
        <f t="shared" si="38"/>
        <v>0</v>
      </c>
      <c r="CW49" s="22">
        <f t="shared" si="38"/>
        <v>0</v>
      </c>
      <c r="CX49" s="22">
        <f t="shared" si="38"/>
        <v>0</v>
      </c>
      <c r="CY49" s="22">
        <f t="shared" si="38"/>
        <v>0</v>
      </c>
      <c r="CZ49" s="22">
        <f t="shared" si="38"/>
        <v>0</v>
      </c>
      <c r="DA49" s="22">
        <f t="shared" si="38"/>
        <v>0</v>
      </c>
      <c r="DB49" s="22">
        <f t="shared" si="38"/>
        <v>0</v>
      </c>
      <c r="DC49" s="22">
        <f t="shared" si="38"/>
        <v>0</v>
      </c>
      <c r="DD49" s="22">
        <f t="shared" si="38"/>
        <v>0</v>
      </c>
      <c r="DE49" s="22">
        <f t="shared" si="38"/>
        <v>0</v>
      </c>
      <c r="DF49" s="22">
        <f t="shared" si="38"/>
        <v>24386962</v>
      </c>
      <c r="DG49" s="22">
        <f t="shared" si="38"/>
        <v>0</v>
      </c>
      <c r="DH49" s="22">
        <f t="shared" si="40"/>
        <v>0</v>
      </c>
      <c r="DI49" s="22">
        <f t="shared" si="37"/>
        <v>0</v>
      </c>
      <c r="DJ49" s="22">
        <f t="shared" si="37"/>
        <v>0</v>
      </c>
      <c r="DK49" s="22">
        <f t="shared" si="37"/>
        <v>0</v>
      </c>
      <c r="DL49" s="47"/>
      <c r="DM49" s="26">
        <f t="shared" si="26"/>
        <v>80000000</v>
      </c>
      <c r="DN49" s="26">
        <f t="shared" si="27"/>
        <v>80000000</v>
      </c>
      <c r="DO49" s="26">
        <f t="shared" si="28"/>
        <v>80000000</v>
      </c>
    </row>
    <row r="50" spans="1:119" ht="33.75" customHeight="1" x14ac:dyDescent="0.25">
      <c r="A50" s="192"/>
      <c r="B50" s="190"/>
      <c r="C50" s="18" t="s">
        <v>172</v>
      </c>
      <c r="D50" s="19" t="s">
        <v>173</v>
      </c>
      <c r="E50" s="20">
        <v>410</v>
      </c>
      <c r="F50" s="21" t="s">
        <v>151</v>
      </c>
      <c r="G50" s="22">
        <f t="shared" si="29"/>
        <v>50000000</v>
      </c>
      <c r="H50" s="49"/>
      <c r="I50" s="22"/>
      <c r="J50" s="22">
        <v>50000000</v>
      </c>
      <c r="K50" s="49"/>
      <c r="L50" s="49"/>
      <c r="M50" s="33"/>
      <c r="N50" s="33"/>
      <c r="O50" s="33"/>
      <c r="P50" s="33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>
        <f>5000000-5000000</f>
        <v>0</v>
      </c>
      <c r="AB50" s="23">
        <f t="shared" si="1"/>
        <v>0.97217120000000001</v>
      </c>
      <c r="AC50" s="22">
        <f t="shared" si="30"/>
        <v>48608560</v>
      </c>
      <c r="AD50" s="22"/>
      <c r="AE50" s="22"/>
      <c r="AF50" s="22">
        <f>+'[6]JULIO 2017'!$L$1803</f>
        <v>48608560</v>
      </c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3">
        <f t="shared" si="3"/>
        <v>2.7828799999999987E-2</v>
      </c>
      <c r="AY50" s="22">
        <f t="shared" si="31"/>
        <v>1391440</v>
      </c>
      <c r="AZ50" s="22">
        <f t="shared" si="41"/>
        <v>0</v>
      </c>
      <c r="BA50" s="22">
        <f t="shared" si="41"/>
        <v>0</v>
      </c>
      <c r="BB50" s="22">
        <f t="shared" si="41"/>
        <v>1391440</v>
      </c>
      <c r="BC50" s="22">
        <f t="shared" si="41"/>
        <v>0</v>
      </c>
      <c r="BD50" s="22">
        <f t="shared" si="41"/>
        <v>0</v>
      </c>
      <c r="BE50" s="22">
        <f t="shared" si="41"/>
        <v>0</v>
      </c>
      <c r="BF50" s="22">
        <f t="shared" si="41"/>
        <v>0</v>
      </c>
      <c r="BG50" s="22">
        <f t="shared" si="41"/>
        <v>0</v>
      </c>
      <c r="BH50" s="22">
        <f t="shared" si="41"/>
        <v>0</v>
      </c>
      <c r="BI50" s="22">
        <f t="shared" si="41"/>
        <v>0</v>
      </c>
      <c r="BJ50" s="22">
        <f t="shared" si="41"/>
        <v>0</v>
      </c>
      <c r="BK50" s="22">
        <f t="shared" si="41"/>
        <v>0</v>
      </c>
      <c r="BL50" s="22">
        <f t="shared" si="41"/>
        <v>0</v>
      </c>
      <c r="BM50" s="22">
        <f t="shared" si="41"/>
        <v>0</v>
      </c>
      <c r="BN50" s="22">
        <f t="shared" si="41"/>
        <v>0</v>
      </c>
      <c r="BO50" s="22">
        <f t="shared" si="39"/>
        <v>0</v>
      </c>
      <c r="BP50" s="22">
        <f t="shared" si="33"/>
        <v>0</v>
      </c>
      <c r="BQ50" s="22">
        <f t="shared" si="33"/>
        <v>0</v>
      </c>
      <c r="BR50" s="22">
        <f t="shared" si="33"/>
        <v>0</v>
      </c>
      <c r="BS50" s="22">
        <f t="shared" si="33"/>
        <v>0</v>
      </c>
      <c r="BT50" s="23">
        <f t="shared" si="7"/>
        <v>0.82217123999999997</v>
      </c>
      <c r="BU50" s="22">
        <f t="shared" si="34"/>
        <v>41108562</v>
      </c>
      <c r="BV50" s="22"/>
      <c r="BW50" s="22"/>
      <c r="BX50" s="22">
        <f>+'[5]AGOSTO 2017'!$H$2091</f>
        <v>41108562</v>
      </c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3">
        <f t="shared" si="9"/>
        <v>0.17782876000000003</v>
      </c>
      <c r="CQ50" s="22">
        <f t="shared" si="35"/>
        <v>8891438</v>
      </c>
      <c r="CR50" s="22">
        <f t="shared" si="38"/>
        <v>0</v>
      </c>
      <c r="CS50" s="22">
        <f t="shared" si="38"/>
        <v>0</v>
      </c>
      <c r="CT50" s="22">
        <f t="shared" si="38"/>
        <v>8891438</v>
      </c>
      <c r="CU50" s="22">
        <f t="shared" si="38"/>
        <v>0</v>
      </c>
      <c r="CV50" s="22">
        <f t="shared" si="38"/>
        <v>0</v>
      </c>
      <c r="CW50" s="22">
        <f t="shared" si="38"/>
        <v>0</v>
      </c>
      <c r="CX50" s="22">
        <f t="shared" si="38"/>
        <v>0</v>
      </c>
      <c r="CY50" s="22">
        <f t="shared" si="38"/>
        <v>0</v>
      </c>
      <c r="CZ50" s="22">
        <f t="shared" si="38"/>
        <v>0</v>
      </c>
      <c r="DA50" s="22">
        <f t="shared" si="38"/>
        <v>0</v>
      </c>
      <c r="DB50" s="22">
        <f t="shared" si="38"/>
        <v>0</v>
      </c>
      <c r="DC50" s="22">
        <f t="shared" si="38"/>
        <v>0</v>
      </c>
      <c r="DD50" s="22">
        <f t="shared" si="38"/>
        <v>0</v>
      </c>
      <c r="DE50" s="22">
        <f t="shared" si="38"/>
        <v>0</v>
      </c>
      <c r="DF50" s="22">
        <f t="shared" si="38"/>
        <v>0</v>
      </c>
      <c r="DG50" s="22">
        <f t="shared" si="38"/>
        <v>0</v>
      </c>
      <c r="DH50" s="22">
        <f t="shared" si="40"/>
        <v>0</v>
      </c>
      <c r="DI50" s="22">
        <f t="shared" si="37"/>
        <v>0</v>
      </c>
      <c r="DJ50" s="22">
        <f t="shared" si="37"/>
        <v>0</v>
      </c>
      <c r="DK50" s="22">
        <f t="shared" si="37"/>
        <v>0</v>
      </c>
      <c r="DL50" s="47"/>
      <c r="DM50" s="26">
        <f t="shared" si="26"/>
        <v>50000000</v>
      </c>
      <c r="DN50" s="26">
        <f t="shared" si="27"/>
        <v>50000000</v>
      </c>
      <c r="DO50" s="26">
        <f t="shared" si="28"/>
        <v>50000000</v>
      </c>
    </row>
    <row r="51" spans="1:119" ht="51.75" customHeight="1" x14ac:dyDescent="0.25">
      <c r="A51" s="192"/>
      <c r="B51" s="191" t="s">
        <v>174</v>
      </c>
      <c r="C51" s="18" t="s">
        <v>175</v>
      </c>
      <c r="D51" s="19" t="s">
        <v>176</v>
      </c>
      <c r="E51" s="20">
        <v>410</v>
      </c>
      <c r="F51" s="21" t="s">
        <v>177</v>
      </c>
      <c r="G51" s="22">
        <f t="shared" si="29"/>
        <v>40000000</v>
      </c>
      <c r="H51" s="33"/>
      <c r="I51" s="22"/>
      <c r="J51" s="22">
        <v>20000000</v>
      </c>
      <c r="K51" s="22"/>
      <c r="L51" s="33"/>
      <c r="M51" s="33"/>
      <c r="N51" s="33"/>
      <c r="O51" s="33"/>
      <c r="P51" s="33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>
        <v>20000000</v>
      </c>
      <c r="AB51" s="23">
        <f t="shared" si="1"/>
        <v>0.36</v>
      </c>
      <c r="AC51" s="22">
        <f t="shared" si="30"/>
        <v>14400000</v>
      </c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>
        <f>+'[3]JUNIO 2017'!$AC$1224</f>
        <v>14400000</v>
      </c>
      <c r="AX51" s="23">
        <f t="shared" si="3"/>
        <v>0.64</v>
      </c>
      <c r="AY51" s="22">
        <f t="shared" si="31"/>
        <v>25600000</v>
      </c>
      <c r="AZ51" s="22">
        <f t="shared" si="41"/>
        <v>0</v>
      </c>
      <c r="BA51" s="22">
        <f t="shared" si="41"/>
        <v>0</v>
      </c>
      <c r="BB51" s="22">
        <f t="shared" si="41"/>
        <v>20000000</v>
      </c>
      <c r="BC51" s="22">
        <f t="shared" si="41"/>
        <v>0</v>
      </c>
      <c r="BD51" s="22">
        <f t="shared" si="41"/>
        <v>0</v>
      </c>
      <c r="BE51" s="22">
        <f t="shared" si="41"/>
        <v>0</v>
      </c>
      <c r="BF51" s="22">
        <f t="shared" si="41"/>
        <v>0</v>
      </c>
      <c r="BG51" s="22">
        <f t="shared" si="41"/>
        <v>0</v>
      </c>
      <c r="BH51" s="22">
        <f t="shared" si="41"/>
        <v>0</v>
      </c>
      <c r="BI51" s="22">
        <f t="shared" si="41"/>
        <v>0</v>
      </c>
      <c r="BJ51" s="22">
        <f t="shared" si="41"/>
        <v>0</v>
      </c>
      <c r="BK51" s="22">
        <f t="shared" si="41"/>
        <v>0</v>
      </c>
      <c r="BL51" s="22">
        <f t="shared" si="41"/>
        <v>0</v>
      </c>
      <c r="BM51" s="22">
        <f t="shared" si="41"/>
        <v>0</v>
      </c>
      <c r="BN51" s="22">
        <f t="shared" si="41"/>
        <v>0</v>
      </c>
      <c r="BO51" s="22">
        <f t="shared" si="39"/>
        <v>0</v>
      </c>
      <c r="BP51" s="22">
        <f t="shared" si="33"/>
        <v>0</v>
      </c>
      <c r="BQ51" s="22">
        <f t="shared" si="33"/>
        <v>0</v>
      </c>
      <c r="BR51" s="22">
        <f t="shared" si="33"/>
        <v>0</v>
      </c>
      <c r="BS51" s="22">
        <f t="shared" si="33"/>
        <v>5600000</v>
      </c>
      <c r="BT51" s="23">
        <f t="shared" si="7"/>
        <v>0.36</v>
      </c>
      <c r="BU51" s="22">
        <f t="shared" si="34"/>
        <v>14400000</v>
      </c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>
        <f>+'[5]AGOSTO 2017'!$H$2102</f>
        <v>14400000</v>
      </c>
      <c r="CP51" s="23">
        <f t="shared" si="9"/>
        <v>0.64</v>
      </c>
      <c r="CQ51" s="22">
        <f t="shared" si="35"/>
        <v>25600000</v>
      </c>
      <c r="CR51" s="22">
        <f t="shared" si="38"/>
        <v>0</v>
      </c>
      <c r="CS51" s="22">
        <f t="shared" si="38"/>
        <v>0</v>
      </c>
      <c r="CT51" s="22">
        <f t="shared" si="38"/>
        <v>20000000</v>
      </c>
      <c r="CU51" s="22">
        <f t="shared" si="38"/>
        <v>0</v>
      </c>
      <c r="CV51" s="22">
        <f t="shared" si="38"/>
        <v>0</v>
      </c>
      <c r="CW51" s="22">
        <f t="shared" si="38"/>
        <v>0</v>
      </c>
      <c r="CX51" s="22">
        <f t="shared" si="38"/>
        <v>0</v>
      </c>
      <c r="CY51" s="22">
        <f t="shared" si="38"/>
        <v>0</v>
      </c>
      <c r="CZ51" s="22">
        <f t="shared" si="38"/>
        <v>0</v>
      </c>
      <c r="DA51" s="22">
        <f t="shared" si="38"/>
        <v>0</v>
      </c>
      <c r="DB51" s="22">
        <f t="shared" si="38"/>
        <v>0</v>
      </c>
      <c r="DC51" s="22">
        <f t="shared" si="38"/>
        <v>0</v>
      </c>
      <c r="DD51" s="22">
        <f t="shared" si="38"/>
        <v>0</v>
      </c>
      <c r="DE51" s="22">
        <f t="shared" si="38"/>
        <v>0</v>
      </c>
      <c r="DF51" s="22">
        <f t="shared" si="38"/>
        <v>0</v>
      </c>
      <c r="DG51" s="22">
        <f t="shared" si="38"/>
        <v>0</v>
      </c>
      <c r="DH51" s="22">
        <f t="shared" si="40"/>
        <v>0</v>
      </c>
      <c r="DI51" s="22">
        <f t="shared" si="37"/>
        <v>0</v>
      </c>
      <c r="DJ51" s="22">
        <f t="shared" si="37"/>
        <v>0</v>
      </c>
      <c r="DK51" s="22">
        <f t="shared" si="37"/>
        <v>5600000</v>
      </c>
      <c r="DM51" s="26">
        <f t="shared" si="26"/>
        <v>40000000</v>
      </c>
      <c r="DN51" s="26">
        <f t="shared" si="27"/>
        <v>40000000</v>
      </c>
      <c r="DO51" s="26">
        <f t="shared" si="28"/>
        <v>40000000</v>
      </c>
    </row>
    <row r="52" spans="1:119" ht="34.5" customHeight="1" x14ac:dyDescent="0.25">
      <c r="A52" s="192"/>
      <c r="B52" s="189"/>
      <c r="C52" s="18" t="s">
        <v>178</v>
      </c>
      <c r="D52" s="19" t="s">
        <v>179</v>
      </c>
      <c r="E52" s="20">
        <v>410</v>
      </c>
      <c r="F52" s="21" t="s">
        <v>107</v>
      </c>
      <c r="G52" s="22">
        <f t="shared" si="29"/>
        <v>10000000</v>
      </c>
      <c r="H52" s="33"/>
      <c r="I52" s="22"/>
      <c r="J52" s="22">
        <v>10000000</v>
      </c>
      <c r="K52" s="22"/>
      <c r="L52" s="33"/>
      <c r="M52" s="33"/>
      <c r="N52" s="33"/>
      <c r="O52" s="33"/>
      <c r="P52" s="33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3">
        <f t="shared" si="1"/>
        <v>0.80938730000000003</v>
      </c>
      <c r="AC52" s="22">
        <f t="shared" si="30"/>
        <v>8093873</v>
      </c>
      <c r="AD52" s="22"/>
      <c r="AE52" s="22"/>
      <c r="AF52" s="22">
        <f>+'[8]ABRIL 2017'!$L$894</f>
        <v>8093873</v>
      </c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3">
        <f t="shared" si="3"/>
        <v>0.19061269999999997</v>
      </c>
      <c r="AY52" s="22">
        <f t="shared" si="31"/>
        <v>1906127</v>
      </c>
      <c r="AZ52" s="22">
        <f t="shared" si="41"/>
        <v>0</v>
      </c>
      <c r="BA52" s="22">
        <f t="shared" si="41"/>
        <v>0</v>
      </c>
      <c r="BB52" s="22">
        <f t="shared" si="41"/>
        <v>1906127</v>
      </c>
      <c r="BC52" s="22">
        <f t="shared" si="41"/>
        <v>0</v>
      </c>
      <c r="BD52" s="22">
        <f t="shared" si="41"/>
        <v>0</v>
      </c>
      <c r="BE52" s="22">
        <f t="shared" si="41"/>
        <v>0</v>
      </c>
      <c r="BF52" s="22">
        <f t="shared" si="41"/>
        <v>0</v>
      </c>
      <c r="BG52" s="22">
        <f t="shared" si="41"/>
        <v>0</v>
      </c>
      <c r="BH52" s="22">
        <f t="shared" si="41"/>
        <v>0</v>
      </c>
      <c r="BI52" s="22">
        <f t="shared" si="41"/>
        <v>0</v>
      </c>
      <c r="BJ52" s="22">
        <f t="shared" si="41"/>
        <v>0</v>
      </c>
      <c r="BK52" s="22">
        <f t="shared" si="41"/>
        <v>0</v>
      </c>
      <c r="BL52" s="22">
        <f t="shared" si="41"/>
        <v>0</v>
      </c>
      <c r="BM52" s="22">
        <f t="shared" si="41"/>
        <v>0</v>
      </c>
      <c r="BN52" s="22">
        <f t="shared" si="41"/>
        <v>0</v>
      </c>
      <c r="BO52" s="22">
        <f t="shared" si="39"/>
        <v>0</v>
      </c>
      <c r="BP52" s="22">
        <f t="shared" si="33"/>
        <v>0</v>
      </c>
      <c r="BQ52" s="22">
        <f t="shared" si="33"/>
        <v>0</v>
      </c>
      <c r="BR52" s="22">
        <f t="shared" si="33"/>
        <v>0</v>
      </c>
      <c r="BS52" s="22">
        <f t="shared" si="33"/>
        <v>0</v>
      </c>
      <c r="BT52" s="23">
        <f t="shared" si="7"/>
        <v>0.80938730000000003</v>
      </c>
      <c r="BU52" s="22">
        <f t="shared" si="34"/>
        <v>8093873</v>
      </c>
      <c r="BV52" s="22"/>
      <c r="BW52" s="22"/>
      <c r="BX52" s="22">
        <f>+'[8]ABRIL 2017'!$H$892</f>
        <v>8093873</v>
      </c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3">
        <f t="shared" si="9"/>
        <v>0.19061269999999997</v>
      </c>
      <c r="CQ52" s="22">
        <f t="shared" si="35"/>
        <v>1906127</v>
      </c>
      <c r="CR52" s="22">
        <f t="shared" si="38"/>
        <v>0</v>
      </c>
      <c r="CS52" s="22">
        <f t="shared" si="38"/>
        <v>0</v>
      </c>
      <c r="CT52" s="22">
        <f t="shared" si="38"/>
        <v>1906127</v>
      </c>
      <c r="CU52" s="22">
        <f t="shared" si="38"/>
        <v>0</v>
      </c>
      <c r="CV52" s="22">
        <f t="shared" si="38"/>
        <v>0</v>
      </c>
      <c r="CW52" s="22">
        <f t="shared" si="38"/>
        <v>0</v>
      </c>
      <c r="CX52" s="22">
        <f t="shared" si="38"/>
        <v>0</v>
      </c>
      <c r="CY52" s="22">
        <f t="shared" si="38"/>
        <v>0</v>
      </c>
      <c r="CZ52" s="22">
        <f t="shared" si="38"/>
        <v>0</v>
      </c>
      <c r="DA52" s="22">
        <f t="shared" si="38"/>
        <v>0</v>
      </c>
      <c r="DB52" s="22">
        <f t="shared" si="38"/>
        <v>0</v>
      </c>
      <c r="DC52" s="22">
        <f t="shared" si="38"/>
        <v>0</v>
      </c>
      <c r="DD52" s="22">
        <f t="shared" si="38"/>
        <v>0</v>
      </c>
      <c r="DE52" s="22">
        <f t="shared" si="38"/>
        <v>0</v>
      </c>
      <c r="DF52" s="22">
        <f t="shared" si="38"/>
        <v>0</v>
      </c>
      <c r="DG52" s="22">
        <f t="shared" si="38"/>
        <v>0</v>
      </c>
      <c r="DH52" s="22">
        <f t="shared" si="40"/>
        <v>0</v>
      </c>
      <c r="DI52" s="22">
        <f t="shared" si="37"/>
        <v>0</v>
      </c>
      <c r="DJ52" s="22">
        <f t="shared" si="37"/>
        <v>0</v>
      </c>
      <c r="DK52" s="22">
        <f t="shared" si="37"/>
        <v>0</v>
      </c>
      <c r="DM52" s="26">
        <f t="shared" si="26"/>
        <v>10000000</v>
      </c>
      <c r="DN52" s="26">
        <f t="shared" si="27"/>
        <v>10000000</v>
      </c>
      <c r="DO52" s="26">
        <f t="shared" si="28"/>
        <v>10000000</v>
      </c>
    </row>
    <row r="53" spans="1:119" ht="35.25" customHeight="1" x14ac:dyDescent="0.25">
      <c r="A53" s="192"/>
      <c r="B53" s="189"/>
      <c r="C53" s="18" t="s">
        <v>180</v>
      </c>
      <c r="D53" s="19" t="s">
        <v>181</v>
      </c>
      <c r="E53" s="20">
        <v>410</v>
      </c>
      <c r="F53" s="21" t="s">
        <v>107</v>
      </c>
      <c r="G53" s="22">
        <f t="shared" si="29"/>
        <v>130000000</v>
      </c>
      <c r="H53" s="33"/>
      <c r="I53" s="22"/>
      <c r="J53" s="22">
        <v>70000000</v>
      </c>
      <c r="K53" s="22">
        <f>60000000</f>
        <v>60000000</v>
      </c>
      <c r="L53" s="33"/>
      <c r="M53" s="33"/>
      <c r="N53" s="33"/>
      <c r="O53" s="33"/>
      <c r="P53" s="33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3">
        <f t="shared" si="1"/>
        <v>0.68966893846153843</v>
      </c>
      <c r="AC53" s="22">
        <f t="shared" si="30"/>
        <v>89656962</v>
      </c>
      <c r="AD53" s="22"/>
      <c r="AE53" s="22"/>
      <c r="AF53" s="22">
        <f>28479822+1177140</f>
        <v>29656962</v>
      </c>
      <c r="AG53" s="22">
        <v>60000000</v>
      </c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3">
        <f t="shared" si="3"/>
        <v>0.31033106153846157</v>
      </c>
      <c r="AY53" s="22">
        <f t="shared" si="31"/>
        <v>40343038</v>
      </c>
      <c r="AZ53" s="22">
        <f t="shared" si="41"/>
        <v>0</v>
      </c>
      <c r="BA53" s="22">
        <f t="shared" si="41"/>
        <v>0</v>
      </c>
      <c r="BB53" s="22">
        <f t="shared" si="41"/>
        <v>40343038</v>
      </c>
      <c r="BC53" s="22">
        <f t="shared" si="41"/>
        <v>0</v>
      </c>
      <c r="BD53" s="22">
        <f t="shared" si="41"/>
        <v>0</v>
      </c>
      <c r="BE53" s="22">
        <f t="shared" si="41"/>
        <v>0</v>
      </c>
      <c r="BF53" s="22">
        <f t="shared" si="41"/>
        <v>0</v>
      </c>
      <c r="BG53" s="22">
        <f t="shared" si="41"/>
        <v>0</v>
      </c>
      <c r="BH53" s="22">
        <f t="shared" si="41"/>
        <v>0</v>
      </c>
      <c r="BI53" s="22">
        <f t="shared" si="41"/>
        <v>0</v>
      </c>
      <c r="BJ53" s="22">
        <f t="shared" si="41"/>
        <v>0</v>
      </c>
      <c r="BK53" s="22">
        <f t="shared" si="41"/>
        <v>0</v>
      </c>
      <c r="BL53" s="22">
        <f t="shared" si="41"/>
        <v>0</v>
      </c>
      <c r="BM53" s="22">
        <f t="shared" si="41"/>
        <v>0</v>
      </c>
      <c r="BN53" s="22">
        <f t="shared" si="41"/>
        <v>0</v>
      </c>
      <c r="BO53" s="22">
        <f t="shared" si="39"/>
        <v>0</v>
      </c>
      <c r="BP53" s="22">
        <f t="shared" si="33"/>
        <v>0</v>
      </c>
      <c r="BQ53" s="22">
        <f t="shared" si="33"/>
        <v>0</v>
      </c>
      <c r="BR53" s="22">
        <f t="shared" si="33"/>
        <v>0</v>
      </c>
      <c r="BS53" s="22">
        <f t="shared" si="33"/>
        <v>0</v>
      </c>
      <c r="BT53" s="23">
        <f t="shared" si="7"/>
        <v>0.6878458615384615</v>
      </c>
      <c r="BU53" s="22">
        <f t="shared" si="34"/>
        <v>89419962</v>
      </c>
      <c r="BV53" s="22"/>
      <c r="BW53" s="22"/>
      <c r="BX53" s="22">
        <v>29419962</v>
      </c>
      <c r="BY53" s="22">
        <v>60000000</v>
      </c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3">
        <f t="shared" si="9"/>
        <v>0.3121541384615385</v>
      </c>
      <c r="CQ53" s="22">
        <f t="shared" si="35"/>
        <v>40580038</v>
      </c>
      <c r="CR53" s="22">
        <f t="shared" si="38"/>
        <v>0</v>
      </c>
      <c r="CS53" s="22">
        <f t="shared" si="38"/>
        <v>0</v>
      </c>
      <c r="CT53" s="22">
        <f t="shared" si="38"/>
        <v>40580038</v>
      </c>
      <c r="CU53" s="22">
        <f t="shared" si="38"/>
        <v>0</v>
      </c>
      <c r="CV53" s="22">
        <f t="shared" si="38"/>
        <v>0</v>
      </c>
      <c r="CW53" s="22">
        <f t="shared" si="38"/>
        <v>0</v>
      </c>
      <c r="CX53" s="22">
        <f t="shared" si="38"/>
        <v>0</v>
      </c>
      <c r="CY53" s="22">
        <f t="shared" si="38"/>
        <v>0</v>
      </c>
      <c r="CZ53" s="22">
        <f t="shared" si="38"/>
        <v>0</v>
      </c>
      <c r="DA53" s="22">
        <f t="shared" si="38"/>
        <v>0</v>
      </c>
      <c r="DB53" s="22">
        <f t="shared" si="38"/>
        <v>0</v>
      </c>
      <c r="DC53" s="22">
        <f t="shared" si="38"/>
        <v>0</v>
      </c>
      <c r="DD53" s="22">
        <f t="shared" si="38"/>
        <v>0</v>
      </c>
      <c r="DE53" s="22">
        <f t="shared" si="38"/>
        <v>0</v>
      </c>
      <c r="DF53" s="22">
        <f t="shared" si="38"/>
        <v>0</v>
      </c>
      <c r="DG53" s="22">
        <f t="shared" si="38"/>
        <v>0</v>
      </c>
      <c r="DH53" s="22">
        <f t="shared" si="40"/>
        <v>0</v>
      </c>
      <c r="DI53" s="22">
        <f t="shared" si="37"/>
        <v>0</v>
      </c>
      <c r="DJ53" s="22">
        <f t="shared" si="37"/>
        <v>0</v>
      </c>
      <c r="DK53" s="22">
        <f t="shared" si="37"/>
        <v>0</v>
      </c>
      <c r="DM53" s="26">
        <f t="shared" si="26"/>
        <v>130000000</v>
      </c>
      <c r="DN53" s="26">
        <f t="shared" si="27"/>
        <v>130000000</v>
      </c>
      <c r="DO53" s="26">
        <f t="shared" si="28"/>
        <v>130000000</v>
      </c>
    </row>
    <row r="54" spans="1:119" ht="23.25" customHeight="1" x14ac:dyDescent="0.25">
      <c r="A54" s="192"/>
      <c r="B54" s="189"/>
      <c r="C54" s="18" t="s">
        <v>182</v>
      </c>
      <c r="D54" s="19" t="s">
        <v>183</v>
      </c>
      <c r="E54" s="20">
        <v>410</v>
      </c>
      <c r="F54" s="21" t="s">
        <v>107</v>
      </c>
      <c r="G54" s="22">
        <f t="shared" si="29"/>
        <v>12449515</v>
      </c>
      <c r="H54" s="33"/>
      <c r="I54" s="22">
        <f>25000000-12550485</f>
        <v>12449515</v>
      </c>
      <c r="J54" s="33"/>
      <c r="K54" s="33"/>
      <c r="L54" s="33"/>
      <c r="M54" s="33"/>
      <c r="N54" s="33"/>
      <c r="O54" s="33"/>
      <c r="P54" s="33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3">
        <f t="shared" si="1"/>
        <v>1</v>
      </c>
      <c r="AC54" s="22">
        <f t="shared" si="30"/>
        <v>12449515</v>
      </c>
      <c r="AD54" s="22"/>
      <c r="AE54" s="22">
        <f>+'[6]JULIO 2017'!$K$1860</f>
        <v>12449515</v>
      </c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3">
        <f t="shared" si="3"/>
        <v>0</v>
      </c>
      <c r="AY54" s="22">
        <f t="shared" si="31"/>
        <v>0</v>
      </c>
      <c r="AZ54" s="22">
        <f t="shared" si="41"/>
        <v>0</v>
      </c>
      <c r="BA54" s="22">
        <f t="shared" si="41"/>
        <v>0</v>
      </c>
      <c r="BB54" s="22">
        <f t="shared" si="41"/>
        <v>0</v>
      </c>
      <c r="BC54" s="22">
        <f t="shared" si="41"/>
        <v>0</v>
      </c>
      <c r="BD54" s="22">
        <f t="shared" si="41"/>
        <v>0</v>
      </c>
      <c r="BE54" s="22">
        <f t="shared" si="41"/>
        <v>0</v>
      </c>
      <c r="BF54" s="22">
        <f t="shared" si="41"/>
        <v>0</v>
      </c>
      <c r="BG54" s="22">
        <f t="shared" si="41"/>
        <v>0</v>
      </c>
      <c r="BH54" s="22">
        <f t="shared" si="41"/>
        <v>0</v>
      </c>
      <c r="BI54" s="22">
        <f t="shared" si="41"/>
        <v>0</v>
      </c>
      <c r="BJ54" s="22">
        <f t="shared" si="41"/>
        <v>0</v>
      </c>
      <c r="BK54" s="22">
        <f t="shared" si="41"/>
        <v>0</v>
      </c>
      <c r="BL54" s="22">
        <f t="shared" si="41"/>
        <v>0</v>
      </c>
      <c r="BM54" s="22">
        <f t="shared" si="41"/>
        <v>0</v>
      </c>
      <c r="BN54" s="22">
        <f t="shared" si="41"/>
        <v>0</v>
      </c>
      <c r="BO54" s="22">
        <f t="shared" si="39"/>
        <v>0</v>
      </c>
      <c r="BP54" s="22">
        <f t="shared" si="33"/>
        <v>0</v>
      </c>
      <c r="BQ54" s="22">
        <f t="shared" si="33"/>
        <v>0</v>
      </c>
      <c r="BR54" s="22">
        <f t="shared" si="33"/>
        <v>0</v>
      </c>
      <c r="BS54" s="22">
        <f t="shared" si="33"/>
        <v>0</v>
      </c>
      <c r="BT54" s="23">
        <f t="shared" si="7"/>
        <v>0.99999991967558577</v>
      </c>
      <c r="BU54" s="22">
        <f t="shared" si="34"/>
        <v>12449514</v>
      </c>
      <c r="BV54" s="22"/>
      <c r="BW54" s="22">
        <f>+'[6]JULIO 2017'!$H$1858</f>
        <v>12449514</v>
      </c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3">
        <f t="shared" si="9"/>
        <v>8.0324414231114361E-8</v>
      </c>
      <c r="CQ54" s="22">
        <f t="shared" si="35"/>
        <v>1</v>
      </c>
      <c r="CR54" s="22">
        <f t="shared" si="38"/>
        <v>0</v>
      </c>
      <c r="CS54" s="22">
        <f t="shared" si="38"/>
        <v>1</v>
      </c>
      <c r="CT54" s="22">
        <f t="shared" si="38"/>
        <v>0</v>
      </c>
      <c r="CU54" s="22">
        <f t="shared" si="38"/>
        <v>0</v>
      </c>
      <c r="CV54" s="22">
        <f t="shared" si="38"/>
        <v>0</v>
      </c>
      <c r="CW54" s="22">
        <f t="shared" si="38"/>
        <v>0</v>
      </c>
      <c r="CX54" s="22">
        <f t="shared" si="38"/>
        <v>0</v>
      </c>
      <c r="CY54" s="22">
        <f t="shared" si="38"/>
        <v>0</v>
      </c>
      <c r="CZ54" s="22">
        <f t="shared" si="38"/>
        <v>0</v>
      </c>
      <c r="DA54" s="22">
        <f t="shared" si="38"/>
        <v>0</v>
      </c>
      <c r="DB54" s="22">
        <f t="shared" si="38"/>
        <v>0</v>
      </c>
      <c r="DC54" s="22">
        <f t="shared" si="38"/>
        <v>0</v>
      </c>
      <c r="DD54" s="22">
        <f t="shared" si="38"/>
        <v>0</v>
      </c>
      <c r="DE54" s="22">
        <f t="shared" si="38"/>
        <v>0</v>
      </c>
      <c r="DF54" s="22">
        <f t="shared" si="38"/>
        <v>0</v>
      </c>
      <c r="DG54" s="22">
        <f t="shared" si="38"/>
        <v>0</v>
      </c>
      <c r="DH54" s="22">
        <f t="shared" si="40"/>
        <v>0</v>
      </c>
      <c r="DI54" s="22">
        <f t="shared" si="37"/>
        <v>0</v>
      </c>
      <c r="DJ54" s="22">
        <f t="shared" si="37"/>
        <v>0</v>
      </c>
      <c r="DK54" s="22">
        <f t="shared" si="37"/>
        <v>0</v>
      </c>
      <c r="DM54" s="26">
        <f t="shared" si="26"/>
        <v>12449515</v>
      </c>
      <c r="DN54" s="26">
        <f t="shared" si="27"/>
        <v>12449515</v>
      </c>
      <c r="DO54" s="26">
        <f t="shared" si="28"/>
        <v>12449515</v>
      </c>
    </row>
    <row r="55" spans="1:119" ht="35.25" customHeight="1" x14ac:dyDescent="0.25">
      <c r="A55" s="192"/>
      <c r="B55" s="189"/>
      <c r="C55" s="18" t="s">
        <v>184</v>
      </c>
      <c r="D55" s="19" t="s">
        <v>185</v>
      </c>
      <c r="E55" s="20">
        <v>410</v>
      </c>
      <c r="F55" s="21" t="s">
        <v>107</v>
      </c>
      <c r="G55" s="22">
        <f t="shared" si="29"/>
        <v>104817975</v>
      </c>
      <c r="H55" s="33"/>
      <c r="I55" s="22">
        <f>25000000+12550485</f>
        <v>37550485</v>
      </c>
      <c r="J55" s="33"/>
      <c r="K55" s="22">
        <f>127267490-60000000</f>
        <v>67267490</v>
      </c>
      <c r="L55" s="33"/>
      <c r="M55" s="33"/>
      <c r="N55" s="33"/>
      <c r="O55" s="33"/>
      <c r="P55" s="33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3">
        <f t="shared" si="1"/>
        <v>1</v>
      </c>
      <c r="AC55" s="22">
        <f t="shared" si="30"/>
        <v>104817975</v>
      </c>
      <c r="AD55" s="22"/>
      <c r="AE55" s="22">
        <f>+'[6]JULIO 2017'!$K$1870</f>
        <v>37550485</v>
      </c>
      <c r="AF55" s="22"/>
      <c r="AG55" s="22">
        <f>+'[6]JULIO 2017'!$L$1870</f>
        <v>67267490</v>
      </c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3">
        <f t="shared" si="3"/>
        <v>0</v>
      </c>
      <c r="AY55" s="22">
        <f t="shared" si="31"/>
        <v>0</v>
      </c>
      <c r="AZ55" s="22">
        <f t="shared" si="41"/>
        <v>0</v>
      </c>
      <c r="BA55" s="22">
        <f t="shared" si="41"/>
        <v>0</v>
      </c>
      <c r="BB55" s="22">
        <f t="shared" si="41"/>
        <v>0</v>
      </c>
      <c r="BC55" s="22">
        <f t="shared" si="41"/>
        <v>0</v>
      </c>
      <c r="BD55" s="22">
        <f t="shared" si="41"/>
        <v>0</v>
      </c>
      <c r="BE55" s="22">
        <f t="shared" si="41"/>
        <v>0</v>
      </c>
      <c r="BF55" s="22">
        <f t="shared" si="41"/>
        <v>0</v>
      </c>
      <c r="BG55" s="22">
        <f t="shared" si="41"/>
        <v>0</v>
      </c>
      <c r="BH55" s="22">
        <f t="shared" si="41"/>
        <v>0</v>
      </c>
      <c r="BI55" s="22">
        <f t="shared" si="41"/>
        <v>0</v>
      </c>
      <c r="BJ55" s="22">
        <f t="shared" si="41"/>
        <v>0</v>
      </c>
      <c r="BK55" s="22">
        <f t="shared" si="41"/>
        <v>0</v>
      </c>
      <c r="BL55" s="22">
        <f t="shared" si="41"/>
        <v>0</v>
      </c>
      <c r="BM55" s="22">
        <f t="shared" si="41"/>
        <v>0</v>
      </c>
      <c r="BN55" s="22">
        <f t="shared" si="41"/>
        <v>0</v>
      </c>
      <c r="BO55" s="22">
        <f t="shared" si="39"/>
        <v>0</v>
      </c>
      <c r="BP55" s="22">
        <f t="shared" si="33"/>
        <v>0</v>
      </c>
      <c r="BQ55" s="22">
        <f t="shared" si="33"/>
        <v>0</v>
      </c>
      <c r="BR55" s="22">
        <f t="shared" si="33"/>
        <v>0</v>
      </c>
      <c r="BS55" s="22">
        <f t="shared" si="33"/>
        <v>0</v>
      </c>
      <c r="BT55" s="23">
        <f t="shared" si="7"/>
        <v>0.99383916737563383</v>
      </c>
      <c r="BU55" s="22">
        <f t="shared" si="34"/>
        <v>104172209</v>
      </c>
      <c r="BV55" s="22"/>
      <c r="BW55" s="22">
        <f>+'[5]AGOSTO 2017'!$H$2166+'[5]AGOSTO 2017'!$H$2192</f>
        <v>36904719</v>
      </c>
      <c r="BX55" s="22"/>
      <c r="BY55" s="22">
        <f>+'[5]AGOSTO 2017'!$H$2163-BW55</f>
        <v>67267490</v>
      </c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3">
        <f t="shared" si="9"/>
        <v>6.1608326243661748E-3</v>
      </c>
      <c r="CQ55" s="22">
        <f t="shared" si="35"/>
        <v>645766</v>
      </c>
      <c r="CR55" s="22">
        <f t="shared" si="38"/>
        <v>0</v>
      </c>
      <c r="CS55" s="22">
        <f t="shared" si="38"/>
        <v>645766</v>
      </c>
      <c r="CT55" s="22">
        <f t="shared" si="38"/>
        <v>0</v>
      </c>
      <c r="CU55" s="22">
        <f t="shared" si="38"/>
        <v>0</v>
      </c>
      <c r="CV55" s="22">
        <f t="shared" si="38"/>
        <v>0</v>
      </c>
      <c r="CW55" s="22">
        <f t="shared" si="38"/>
        <v>0</v>
      </c>
      <c r="CX55" s="22">
        <f t="shared" si="38"/>
        <v>0</v>
      </c>
      <c r="CY55" s="22">
        <f t="shared" si="38"/>
        <v>0</v>
      </c>
      <c r="CZ55" s="22">
        <f t="shared" si="38"/>
        <v>0</v>
      </c>
      <c r="DA55" s="22">
        <f t="shared" si="38"/>
        <v>0</v>
      </c>
      <c r="DB55" s="22">
        <f t="shared" si="38"/>
        <v>0</v>
      </c>
      <c r="DC55" s="22">
        <f t="shared" si="38"/>
        <v>0</v>
      </c>
      <c r="DD55" s="22">
        <f t="shared" si="38"/>
        <v>0</v>
      </c>
      <c r="DE55" s="22">
        <f t="shared" si="38"/>
        <v>0</v>
      </c>
      <c r="DF55" s="22">
        <f t="shared" si="38"/>
        <v>0</v>
      </c>
      <c r="DG55" s="22">
        <f t="shared" si="38"/>
        <v>0</v>
      </c>
      <c r="DH55" s="22">
        <f t="shared" si="40"/>
        <v>0</v>
      </c>
      <c r="DI55" s="22">
        <f t="shared" si="37"/>
        <v>0</v>
      </c>
      <c r="DJ55" s="22">
        <f t="shared" si="37"/>
        <v>0</v>
      </c>
      <c r="DK55" s="22">
        <f t="shared" si="37"/>
        <v>0</v>
      </c>
      <c r="DM55" s="26">
        <f t="shared" si="26"/>
        <v>104817975</v>
      </c>
      <c r="DN55" s="26">
        <f t="shared" si="27"/>
        <v>104817975</v>
      </c>
      <c r="DO55" s="26">
        <f t="shared" si="28"/>
        <v>104817975</v>
      </c>
    </row>
    <row r="56" spans="1:119" ht="35.25" customHeight="1" x14ac:dyDescent="0.25">
      <c r="A56" s="196"/>
      <c r="B56" s="190"/>
      <c r="C56" s="18" t="s">
        <v>186</v>
      </c>
      <c r="D56" s="19" t="s">
        <v>187</v>
      </c>
      <c r="E56" s="20">
        <v>410</v>
      </c>
      <c r="F56" s="21" t="s">
        <v>188</v>
      </c>
      <c r="G56" s="22">
        <f t="shared" si="29"/>
        <v>25000000</v>
      </c>
      <c r="H56" s="33"/>
      <c r="I56" s="33"/>
      <c r="J56" s="33"/>
      <c r="K56" s="33"/>
      <c r="L56" s="33"/>
      <c r="M56" s="33"/>
      <c r="N56" s="33"/>
      <c r="O56" s="33"/>
      <c r="P56" s="33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>
        <f>20000000+5000000</f>
        <v>25000000</v>
      </c>
      <c r="AB56" s="23">
        <f t="shared" si="1"/>
        <v>0.90666667999999995</v>
      </c>
      <c r="AC56" s="22">
        <f t="shared" si="30"/>
        <v>22666667</v>
      </c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>
        <f>+'[6]JULIO 2017'!$AC$1903</f>
        <v>22666667</v>
      </c>
      <c r="AX56" s="23">
        <f t="shared" si="3"/>
        <v>9.3333320000000053E-2</v>
      </c>
      <c r="AY56" s="22">
        <f t="shared" si="31"/>
        <v>2333333</v>
      </c>
      <c r="AZ56" s="22">
        <f t="shared" si="41"/>
        <v>0</v>
      </c>
      <c r="BA56" s="22">
        <f t="shared" si="41"/>
        <v>0</v>
      </c>
      <c r="BB56" s="22">
        <f t="shared" si="41"/>
        <v>0</v>
      </c>
      <c r="BC56" s="22">
        <f t="shared" si="41"/>
        <v>0</v>
      </c>
      <c r="BD56" s="22">
        <f t="shared" si="41"/>
        <v>0</v>
      </c>
      <c r="BE56" s="22">
        <f t="shared" si="41"/>
        <v>0</v>
      </c>
      <c r="BF56" s="22">
        <f t="shared" si="41"/>
        <v>0</v>
      </c>
      <c r="BG56" s="22">
        <f t="shared" si="41"/>
        <v>0</v>
      </c>
      <c r="BH56" s="22">
        <f t="shared" si="41"/>
        <v>0</v>
      </c>
      <c r="BI56" s="22">
        <f t="shared" si="41"/>
        <v>0</v>
      </c>
      <c r="BJ56" s="22">
        <f t="shared" si="41"/>
        <v>0</v>
      </c>
      <c r="BK56" s="22">
        <f t="shared" si="41"/>
        <v>0</v>
      </c>
      <c r="BL56" s="22">
        <f t="shared" si="41"/>
        <v>0</v>
      </c>
      <c r="BM56" s="22">
        <f t="shared" si="41"/>
        <v>0</v>
      </c>
      <c r="BN56" s="22">
        <f t="shared" si="41"/>
        <v>0</v>
      </c>
      <c r="BO56" s="22">
        <f t="shared" si="39"/>
        <v>0</v>
      </c>
      <c r="BP56" s="22">
        <f t="shared" si="33"/>
        <v>0</v>
      </c>
      <c r="BQ56" s="22">
        <f t="shared" si="33"/>
        <v>0</v>
      </c>
      <c r="BR56" s="22">
        <f t="shared" si="33"/>
        <v>0</v>
      </c>
      <c r="BS56" s="22">
        <f t="shared" si="33"/>
        <v>2333333</v>
      </c>
      <c r="BT56" s="23">
        <f t="shared" si="7"/>
        <v>0.85066668000000001</v>
      </c>
      <c r="BU56" s="22">
        <f t="shared" si="34"/>
        <v>21266667</v>
      </c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>
        <f>+'[6]JULIO 2017'!$H$1901</f>
        <v>21266667</v>
      </c>
      <c r="CP56" s="23">
        <f t="shared" si="9"/>
        <v>0.14933331999999999</v>
      </c>
      <c r="CQ56" s="22">
        <f t="shared" si="35"/>
        <v>3733333</v>
      </c>
      <c r="CR56" s="22">
        <f t="shared" si="38"/>
        <v>0</v>
      </c>
      <c r="CS56" s="22">
        <f t="shared" si="38"/>
        <v>0</v>
      </c>
      <c r="CT56" s="22">
        <f t="shared" si="38"/>
        <v>0</v>
      </c>
      <c r="CU56" s="22">
        <f t="shared" si="38"/>
        <v>0</v>
      </c>
      <c r="CV56" s="22">
        <f t="shared" si="38"/>
        <v>0</v>
      </c>
      <c r="CW56" s="22">
        <f t="shared" si="38"/>
        <v>0</v>
      </c>
      <c r="CX56" s="22">
        <f t="shared" si="38"/>
        <v>0</v>
      </c>
      <c r="CY56" s="22">
        <f t="shared" si="38"/>
        <v>0</v>
      </c>
      <c r="CZ56" s="22">
        <f t="shared" si="38"/>
        <v>0</v>
      </c>
      <c r="DA56" s="22">
        <f t="shared" si="38"/>
        <v>0</v>
      </c>
      <c r="DB56" s="22">
        <f t="shared" si="38"/>
        <v>0</v>
      </c>
      <c r="DC56" s="22">
        <f t="shared" si="38"/>
        <v>0</v>
      </c>
      <c r="DD56" s="22">
        <f t="shared" si="38"/>
        <v>0</v>
      </c>
      <c r="DE56" s="22">
        <f t="shared" si="38"/>
        <v>0</v>
      </c>
      <c r="DF56" s="22">
        <f t="shared" si="38"/>
        <v>0</v>
      </c>
      <c r="DG56" s="22">
        <f t="shared" si="38"/>
        <v>0</v>
      </c>
      <c r="DH56" s="22">
        <f t="shared" si="40"/>
        <v>0</v>
      </c>
      <c r="DI56" s="22">
        <f t="shared" si="37"/>
        <v>0</v>
      </c>
      <c r="DJ56" s="22">
        <f t="shared" si="37"/>
        <v>0</v>
      </c>
      <c r="DK56" s="22">
        <f t="shared" si="37"/>
        <v>3733333</v>
      </c>
      <c r="DM56" s="26">
        <f t="shared" si="26"/>
        <v>25000000</v>
      </c>
      <c r="DN56" s="26">
        <f t="shared" si="27"/>
        <v>25000000</v>
      </c>
      <c r="DO56" s="26">
        <f t="shared" si="28"/>
        <v>25000000</v>
      </c>
    </row>
    <row r="57" spans="1:119" s="47" customFormat="1" ht="22.5" customHeight="1" thickBot="1" x14ac:dyDescent="0.3">
      <c r="A57" s="60"/>
      <c r="B57" s="197" t="s">
        <v>189</v>
      </c>
      <c r="C57" s="197"/>
      <c r="D57" s="197"/>
      <c r="E57" s="197"/>
      <c r="F57" s="61"/>
      <c r="G57" s="62">
        <f t="shared" ref="G57:N57" si="42">SUM(G25:G56)</f>
        <v>7127077871</v>
      </c>
      <c r="H57" s="62">
        <f t="shared" si="42"/>
        <v>0</v>
      </c>
      <c r="I57" s="62">
        <f t="shared" si="42"/>
        <v>500000000</v>
      </c>
      <c r="J57" s="62">
        <f t="shared" si="42"/>
        <v>2550000000</v>
      </c>
      <c r="K57" s="62">
        <f t="shared" si="42"/>
        <v>234297558</v>
      </c>
      <c r="L57" s="62">
        <f t="shared" si="42"/>
        <v>0</v>
      </c>
      <c r="M57" s="62">
        <f t="shared" si="42"/>
        <v>0</v>
      </c>
      <c r="N57" s="62">
        <f t="shared" si="42"/>
        <v>0</v>
      </c>
      <c r="O57" s="62">
        <f t="shared" ref="O57:AA57" si="43">SUM(O25:O56)</f>
        <v>0</v>
      </c>
      <c r="P57" s="62">
        <f t="shared" si="43"/>
        <v>0</v>
      </c>
      <c r="Q57" s="62">
        <f t="shared" si="43"/>
        <v>0</v>
      </c>
      <c r="R57" s="62">
        <f t="shared" si="43"/>
        <v>0</v>
      </c>
      <c r="S57" s="62">
        <f t="shared" si="43"/>
        <v>3157557814</v>
      </c>
      <c r="T57" s="62">
        <f t="shared" si="43"/>
        <v>0</v>
      </c>
      <c r="U57" s="62">
        <f t="shared" si="43"/>
        <v>0</v>
      </c>
      <c r="V57" s="62">
        <f t="shared" si="43"/>
        <v>427275758</v>
      </c>
      <c r="W57" s="62">
        <f t="shared" si="43"/>
        <v>0</v>
      </c>
      <c r="X57" s="62">
        <f t="shared" si="43"/>
        <v>119946741</v>
      </c>
      <c r="Y57" s="62">
        <f t="shared" si="43"/>
        <v>0</v>
      </c>
      <c r="Z57" s="62">
        <f t="shared" si="43"/>
        <v>0</v>
      </c>
      <c r="AA57" s="62">
        <f t="shared" si="43"/>
        <v>138000000</v>
      </c>
      <c r="AB57" s="46">
        <f t="shared" si="1"/>
        <v>0.78588342899838648</v>
      </c>
      <c r="AC57" s="62">
        <f t="shared" ref="AC57:AW57" si="44">SUM(AC25:AC56)</f>
        <v>5601052396</v>
      </c>
      <c r="AD57" s="62">
        <f t="shared" si="44"/>
        <v>0</v>
      </c>
      <c r="AE57" s="62">
        <f t="shared" si="44"/>
        <v>471762012</v>
      </c>
      <c r="AF57" s="62">
        <f t="shared" si="44"/>
        <v>2209904030</v>
      </c>
      <c r="AG57" s="62">
        <f t="shared" si="44"/>
        <v>209836688</v>
      </c>
      <c r="AH57" s="62">
        <f t="shared" si="44"/>
        <v>0</v>
      </c>
      <c r="AI57" s="62">
        <f t="shared" si="44"/>
        <v>0</v>
      </c>
      <c r="AJ57" s="62">
        <f t="shared" si="44"/>
        <v>0</v>
      </c>
      <c r="AK57" s="62">
        <f t="shared" si="44"/>
        <v>0</v>
      </c>
      <c r="AL57" s="62">
        <f t="shared" si="44"/>
        <v>0</v>
      </c>
      <c r="AM57" s="62">
        <f t="shared" si="44"/>
        <v>0</v>
      </c>
      <c r="AN57" s="62">
        <f t="shared" si="44"/>
        <v>0</v>
      </c>
      <c r="AO57" s="62">
        <f t="shared" si="44"/>
        <v>2170553330</v>
      </c>
      <c r="AP57" s="62">
        <f t="shared" si="44"/>
        <v>0</v>
      </c>
      <c r="AQ57" s="62">
        <f t="shared" si="44"/>
        <v>0</v>
      </c>
      <c r="AR57" s="62">
        <f t="shared" si="44"/>
        <v>329664409</v>
      </c>
      <c r="AS57" s="62">
        <f t="shared" si="44"/>
        <v>0</v>
      </c>
      <c r="AT57" s="62">
        <f t="shared" si="44"/>
        <v>119946741</v>
      </c>
      <c r="AU57" s="62">
        <f t="shared" si="44"/>
        <v>0</v>
      </c>
      <c r="AV57" s="62">
        <f t="shared" si="44"/>
        <v>0</v>
      </c>
      <c r="AW57" s="62">
        <f t="shared" si="44"/>
        <v>89385186</v>
      </c>
      <c r="AX57" s="46">
        <f t="shared" si="3"/>
        <v>0.21411657100161352</v>
      </c>
      <c r="AY57" s="62">
        <f t="shared" ref="AY57:BS57" si="45">SUM(AY25:AY56)</f>
        <v>1526025475</v>
      </c>
      <c r="AZ57" s="62">
        <f t="shared" si="45"/>
        <v>0</v>
      </c>
      <c r="BA57" s="62">
        <f t="shared" si="45"/>
        <v>28237988</v>
      </c>
      <c r="BB57" s="62">
        <f t="shared" si="45"/>
        <v>340095970</v>
      </c>
      <c r="BC57" s="62">
        <f t="shared" si="45"/>
        <v>24460870</v>
      </c>
      <c r="BD57" s="62">
        <f t="shared" si="45"/>
        <v>0</v>
      </c>
      <c r="BE57" s="62">
        <f t="shared" si="45"/>
        <v>0</v>
      </c>
      <c r="BF57" s="62">
        <f t="shared" si="45"/>
        <v>0</v>
      </c>
      <c r="BG57" s="62">
        <f t="shared" si="45"/>
        <v>0</v>
      </c>
      <c r="BH57" s="62">
        <f t="shared" si="45"/>
        <v>0</v>
      </c>
      <c r="BI57" s="62">
        <f t="shared" si="45"/>
        <v>0</v>
      </c>
      <c r="BJ57" s="62">
        <f t="shared" si="45"/>
        <v>0</v>
      </c>
      <c r="BK57" s="62">
        <f t="shared" si="45"/>
        <v>987004484</v>
      </c>
      <c r="BL57" s="62">
        <f t="shared" si="45"/>
        <v>0</v>
      </c>
      <c r="BM57" s="62">
        <f t="shared" si="45"/>
        <v>0</v>
      </c>
      <c r="BN57" s="62">
        <f t="shared" si="45"/>
        <v>97611349</v>
      </c>
      <c r="BO57" s="62">
        <f t="shared" si="45"/>
        <v>0</v>
      </c>
      <c r="BP57" s="62">
        <f t="shared" si="45"/>
        <v>0</v>
      </c>
      <c r="BQ57" s="62">
        <f t="shared" si="45"/>
        <v>0</v>
      </c>
      <c r="BR57" s="62">
        <f t="shared" si="45"/>
        <v>0</v>
      </c>
      <c r="BS57" s="62">
        <f t="shared" si="45"/>
        <v>48614814</v>
      </c>
      <c r="BT57" s="46">
        <f t="shared" si="7"/>
        <v>0.63066378863197914</v>
      </c>
      <c r="BU57" s="62">
        <f t="shared" ref="BU57:DK57" si="46">SUM(BU25:BU56)</f>
        <v>4494789932</v>
      </c>
      <c r="BV57" s="62">
        <f t="shared" si="46"/>
        <v>0</v>
      </c>
      <c r="BW57" s="62">
        <f t="shared" si="46"/>
        <v>439799797</v>
      </c>
      <c r="BX57" s="62">
        <f t="shared" si="46"/>
        <v>1672311308</v>
      </c>
      <c r="BY57" s="62">
        <f t="shared" si="46"/>
        <v>209836688</v>
      </c>
      <c r="BZ57" s="62">
        <f t="shared" si="46"/>
        <v>0</v>
      </c>
      <c r="CA57" s="62">
        <f t="shared" si="46"/>
        <v>0</v>
      </c>
      <c r="CB57" s="62">
        <f t="shared" si="46"/>
        <v>0</v>
      </c>
      <c r="CC57" s="62">
        <f t="shared" si="46"/>
        <v>0</v>
      </c>
      <c r="CD57" s="62">
        <f t="shared" si="46"/>
        <v>0</v>
      </c>
      <c r="CE57" s="62">
        <f t="shared" si="46"/>
        <v>0</v>
      </c>
      <c r="CF57" s="62">
        <f t="shared" si="46"/>
        <v>0</v>
      </c>
      <c r="CG57" s="62">
        <f t="shared" si="46"/>
        <v>1903657930</v>
      </c>
      <c r="CH57" s="62">
        <f t="shared" si="46"/>
        <v>0</v>
      </c>
      <c r="CI57" s="62">
        <f t="shared" si="46"/>
        <v>0</v>
      </c>
      <c r="CJ57" s="62">
        <f t="shared" si="46"/>
        <v>140434345</v>
      </c>
      <c r="CK57" s="62">
        <f t="shared" si="46"/>
        <v>0</v>
      </c>
      <c r="CL57" s="62">
        <f t="shared" si="46"/>
        <v>44864678</v>
      </c>
      <c r="CM57" s="62">
        <f t="shared" si="46"/>
        <v>0</v>
      </c>
      <c r="CN57" s="62">
        <f t="shared" si="46"/>
        <v>0</v>
      </c>
      <c r="CO57" s="62">
        <f t="shared" si="46"/>
        <v>83885186</v>
      </c>
      <c r="CP57" s="62" t="e">
        <f t="shared" si="46"/>
        <v>#DIV/0!</v>
      </c>
      <c r="CQ57" s="62">
        <f t="shared" si="46"/>
        <v>2632287939</v>
      </c>
      <c r="CR57" s="62">
        <f t="shared" si="46"/>
        <v>0</v>
      </c>
      <c r="CS57" s="62">
        <f t="shared" si="46"/>
        <v>60200203</v>
      </c>
      <c r="CT57" s="62">
        <f t="shared" si="46"/>
        <v>877688692</v>
      </c>
      <c r="CU57" s="62">
        <f t="shared" si="46"/>
        <v>24460870</v>
      </c>
      <c r="CV57" s="62">
        <f t="shared" si="46"/>
        <v>0</v>
      </c>
      <c r="CW57" s="62">
        <f t="shared" si="46"/>
        <v>0</v>
      </c>
      <c r="CX57" s="62">
        <f t="shared" si="46"/>
        <v>0</v>
      </c>
      <c r="CY57" s="62">
        <f t="shared" si="46"/>
        <v>0</v>
      </c>
      <c r="CZ57" s="62">
        <f t="shared" si="46"/>
        <v>0</v>
      </c>
      <c r="DA57" s="62">
        <f t="shared" si="46"/>
        <v>0</v>
      </c>
      <c r="DB57" s="62">
        <f t="shared" si="46"/>
        <v>0</v>
      </c>
      <c r="DC57" s="62">
        <f t="shared" si="46"/>
        <v>1253899884</v>
      </c>
      <c r="DD57" s="62">
        <f t="shared" si="46"/>
        <v>0</v>
      </c>
      <c r="DE57" s="62">
        <f t="shared" si="46"/>
        <v>0</v>
      </c>
      <c r="DF57" s="62">
        <f t="shared" si="46"/>
        <v>286841413</v>
      </c>
      <c r="DG57" s="62">
        <f t="shared" si="46"/>
        <v>0</v>
      </c>
      <c r="DH57" s="62">
        <f t="shared" si="46"/>
        <v>75082063</v>
      </c>
      <c r="DI57" s="62">
        <f t="shared" si="46"/>
        <v>0</v>
      </c>
      <c r="DJ57" s="62">
        <f t="shared" si="46"/>
        <v>0</v>
      </c>
      <c r="DK57" s="62">
        <f t="shared" si="46"/>
        <v>54114814</v>
      </c>
      <c r="DM57" s="26">
        <f t="shared" si="26"/>
        <v>7127077871</v>
      </c>
      <c r="DN57" s="26">
        <f t="shared" si="27"/>
        <v>7127077871</v>
      </c>
      <c r="DO57" s="26">
        <f t="shared" si="28"/>
        <v>7127077871</v>
      </c>
    </row>
    <row r="58" spans="1:119" ht="62.25" customHeight="1" thickTop="1" x14ac:dyDescent="0.25">
      <c r="A58" s="198" t="s">
        <v>190</v>
      </c>
      <c r="B58" s="191" t="s">
        <v>191</v>
      </c>
      <c r="C58" s="30" t="s">
        <v>192</v>
      </c>
      <c r="D58" s="19" t="s">
        <v>193</v>
      </c>
      <c r="E58" s="20">
        <v>520</v>
      </c>
      <c r="F58" s="21" t="s">
        <v>194</v>
      </c>
      <c r="G58" s="22">
        <f t="shared" ref="G58:G78" si="47">SUM(H58:AA58)</f>
        <v>175000000</v>
      </c>
      <c r="H58" s="22"/>
      <c r="I58" s="22">
        <v>100000000</v>
      </c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>
        <f>62000000+1000000+5000000+2000000+5000000</f>
        <v>75000000</v>
      </c>
      <c r="AB58" s="23">
        <f t="shared" si="1"/>
        <v>0.83731680571428568</v>
      </c>
      <c r="AC58" s="22">
        <f>SUM(AD58:AW58)</f>
        <v>146530441</v>
      </c>
      <c r="AD58" s="22"/>
      <c r="AE58" s="22">
        <f>+'[3]JUNIO 2017'!$K$1709</f>
        <v>99997584</v>
      </c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>
        <f>+'[5]AGOSTO 2017'!$AC$2705</f>
        <v>46532857</v>
      </c>
      <c r="AX58" s="23">
        <f t="shared" si="3"/>
        <v>0.16268319428571432</v>
      </c>
      <c r="AY58" s="22">
        <f t="shared" ref="AY58:AY78" si="48">SUM(AZ58:BS58)</f>
        <v>28469559</v>
      </c>
      <c r="AZ58" s="22">
        <f>H58-AD58</f>
        <v>0</v>
      </c>
      <c r="BA58" s="22">
        <f t="shared" ref="BA58:BP74" si="49">I58-AE58</f>
        <v>2416</v>
      </c>
      <c r="BB58" s="22">
        <f t="shared" si="49"/>
        <v>0</v>
      </c>
      <c r="BC58" s="22">
        <f t="shared" si="49"/>
        <v>0</v>
      </c>
      <c r="BD58" s="22">
        <f t="shared" si="49"/>
        <v>0</v>
      </c>
      <c r="BE58" s="22">
        <f t="shared" si="49"/>
        <v>0</v>
      </c>
      <c r="BF58" s="22">
        <f t="shared" si="49"/>
        <v>0</v>
      </c>
      <c r="BG58" s="22">
        <f t="shared" si="49"/>
        <v>0</v>
      </c>
      <c r="BH58" s="22">
        <f t="shared" si="49"/>
        <v>0</v>
      </c>
      <c r="BI58" s="22">
        <f t="shared" si="49"/>
        <v>0</v>
      </c>
      <c r="BJ58" s="22">
        <f t="shared" si="49"/>
        <v>0</v>
      </c>
      <c r="BK58" s="22">
        <f t="shared" si="49"/>
        <v>0</v>
      </c>
      <c r="BL58" s="22">
        <f t="shared" si="49"/>
        <v>0</v>
      </c>
      <c r="BM58" s="22">
        <f t="shared" si="49"/>
        <v>0</v>
      </c>
      <c r="BN58" s="22">
        <f t="shared" si="49"/>
        <v>0</v>
      </c>
      <c r="BO58" s="22">
        <f t="shared" si="49"/>
        <v>0</v>
      </c>
      <c r="BP58" s="22">
        <f t="shared" si="49"/>
        <v>0</v>
      </c>
      <c r="BQ58" s="22">
        <f t="shared" ref="BQ58:BS78" si="50">Y58-AU58</f>
        <v>0</v>
      </c>
      <c r="BR58" s="22">
        <f t="shared" si="50"/>
        <v>0</v>
      </c>
      <c r="BS58" s="22">
        <f t="shared" si="50"/>
        <v>28467143</v>
      </c>
      <c r="BT58" s="23">
        <f t="shared" si="7"/>
        <v>0.83663109142857139</v>
      </c>
      <c r="BU58" s="22">
        <f t="shared" ref="BU58:BU78" si="51">SUM(BV58:CO58)</f>
        <v>146410441</v>
      </c>
      <c r="BV58" s="22"/>
      <c r="BW58" s="22">
        <f>+'[5]AGOSTO 2017'!$K$2705</f>
        <v>99997584</v>
      </c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>
        <f>+'[5]AGOSTO 2017'!$H$2703-BW58</f>
        <v>46412857</v>
      </c>
      <c r="CP58" s="23">
        <f t="shared" ref="CP58:CP114" si="52">1-BT58</f>
        <v>0.16336890857142861</v>
      </c>
      <c r="CQ58" s="22">
        <f t="shared" ref="CQ58:CQ78" si="53">SUM(CR58:DK58)</f>
        <v>28589559</v>
      </c>
      <c r="CR58" s="22">
        <f>H58-BV58</f>
        <v>0</v>
      </c>
      <c r="CS58" s="22">
        <f t="shared" ref="CS58:DH74" si="54">I58-BW58</f>
        <v>2416</v>
      </c>
      <c r="CT58" s="22">
        <f t="shared" si="54"/>
        <v>0</v>
      </c>
      <c r="CU58" s="22">
        <f t="shared" si="54"/>
        <v>0</v>
      </c>
      <c r="CV58" s="22">
        <f t="shared" si="54"/>
        <v>0</v>
      </c>
      <c r="CW58" s="22">
        <f t="shared" si="54"/>
        <v>0</v>
      </c>
      <c r="CX58" s="22">
        <f t="shared" si="54"/>
        <v>0</v>
      </c>
      <c r="CY58" s="22">
        <f t="shared" si="54"/>
        <v>0</v>
      </c>
      <c r="CZ58" s="22">
        <f t="shared" si="54"/>
        <v>0</v>
      </c>
      <c r="DA58" s="22">
        <f t="shared" si="54"/>
        <v>0</v>
      </c>
      <c r="DB58" s="22">
        <f t="shared" si="54"/>
        <v>0</v>
      </c>
      <c r="DC58" s="22">
        <f t="shared" si="54"/>
        <v>0</v>
      </c>
      <c r="DD58" s="22">
        <f t="shared" si="54"/>
        <v>0</v>
      </c>
      <c r="DE58" s="22">
        <f t="shared" si="54"/>
        <v>0</v>
      </c>
      <c r="DF58" s="22">
        <f t="shared" si="54"/>
        <v>0</v>
      </c>
      <c r="DG58" s="22">
        <f t="shared" si="54"/>
        <v>0</v>
      </c>
      <c r="DH58" s="22">
        <f t="shared" si="54"/>
        <v>0</v>
      </c>
      <c r="DI58" s="22">
        <f t="shared" ref="DI58:DK78" si="55">Y58-CM58</f>
        <v>0</v>
      </c>
      <c r="DJ58" s="22">
        <f t="shared" si="55"/>
        <v>0</v>
      </c>
      <c r="DK58" s="22">
        <f t="shared" si="55"/>
        <v>28587143</v>
      </c>
      <c r="DM58" s="26">
        <f t="shared" si="26"/>
        <v>175000000</v>
      </c>
      <c r="DN58" s="26">
        <f t="shared" si="27"/>
        <v>175000000</v>
      </c>
      <c r="DO58" s="26">
        <f t="shared" si="28"/>
        <v>175000000</v>
      </c>
    </row>
    <row r="59" spans="1:119" ht="33.75" x14ac:dyDescent="0.25">
      <c r="A59" s="199"/>
      <c r="B59" s="189"/>
      <c r="C59" s="30" t="s">
        <v>195</v>
      </c>
      <c r="D59" s="19" t="s">
        <v>196</v>
      </c>
      <c r="E59" s="20">
        <v>520</v>
      </c>
      <c r="F59" s="63" t="s">
        <v>197</v>
      </c>
      <c r="G59" s="22">
        <f t="shared" si="47"/>
        <v>0</v>
      </c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>
        <f>7000000-5000000-2000000</f>
        <v>0</v>
      </c>
      <c r="AB59" s="23" t="e">
        <f t="shared" si="1"/>
        <v>#DIV/0!</v>
      </c>
      <c r="AC59" s="22">
        <f>SUM(AD59:AW59)</f>
        <v>0</v>
      </c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3" t="e">
        <f t="shared" si="3"/>
        <v>#DIV/0!</v>
      </c>
      <c r="AY59" s="22">
        <f t="shared" si="48"/>
        <v>0</v>
      </c>
      <c r="AZ59" s="22">
        <f t="shared" ref="AZ59:BO78" si="56">H59-AD59</f>
        <v>0</v>
      </c>
      <c r="BA59" s="22">
        <f t="shared" si="49"/>
        <v>0</v>
      </c>
      <c r="BB59" s="22">
        <f t="shared" si="49"/>
        <v>0</v>
      </c>
      <c r="BC59" s="22">
        <f t="shared" si="49"/>
        <v>0</v>
      </c>
      <c r="BD59" s="22">
        <f t="shared" si="49"/>
        <v>0</v>
      </c>
      <c r="BE59" s="22">
        <f t="shared" si="49"/>
        <v>0</v>
      </c>
      <c r="BF59" s="22">
        <f t="shared" si="49"/>
        <v>0</v>
      </c>
      <c r="BG59" s="22">
        <f t="shared" si="49"/>
        <v>0</v>
      </c>
      <c r="BH59" s="22">
        <f t="shared" si="49"/>
        <v>0</v>
      </c>
      <c r="BI59" s="22">
        <f t="shared" si="49"/>
        <v>0</v>
      </c>
      <c r="BJ59" s="22">
        <f t="shared" si="49"/>
        <v>0</v>
      </c>
      <c r="BK59" s="22">
        <f t="shared" si="49"/>
        <v>0</v>
      </c>
      <c r="BL59" s="22">
        <f t="shared" si="49"/>
        <v>0</v>
      </c>
      <c r="BM59" s="22">
        <f t="shared" si="49"/>
        <v>0</v>
      </c>
      <c r="BN59" s="22">
        <f t="shared" si="49"/>
        <v>0</v>
      </c>
      <c r="BO59" s="22">
        <f t="shared" si="49"/>
        <v>0</v>
      </c>
      <c r="BP59" s="22">
        <f t="shared" si="49"/>
        <v>0</v>
      </c>
      <c r="BQ59" s="22">
        <f t="shared" si="50"/>
        <v>0</v>
      </c>
      <c r="BR59" s="22">
        <f t="shared" si="50"/>
        <v>0</v>
      </c>
      <c r="BS59" s="22">
        <f t="shared" si="50"/>
        <v>0</v>
      </c>
      <c r="BT59" s="23" t="e">
        <f t="shared" si="7"/>
        <v>#DIV/0!</v>
      </c>
      <c r="BU59" s="22">
        <f t="shared" si="51"/>
        <v>0</v>
      </c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3" t="e">
        <f t="shared" si="52"/>
        <v>#DIV/0!</v>
      </c>
      <c r="CQ59" s="22">
        <f t="shared" si="53"/>
        <v>0</v>
      </c>
      <c r="CR59" s="22">
        <f t="shared" ref="CR59:DG78" si="57">H59-BV59</f>
        <v>0</v>
      </c>
      <c r="CS59" s="22">
        <f t="shared" si="54"/>
        <v>0</v>
      </c>
      <c r="CT59" s="22">
        <f t="shared" si="54"/>
        <v>0</v>
      </c>
      <c r="CU59" s="22">
        <f t="shared" si="54"/>
        <v>0</v>
      </c>
      <c r="CV59" s="22">
        <f t="shared" si="54"/>
        <v>0</v>
      </c>
      <c r="CW59" s="22">
        <f t="shared" si="54"/>
        <v>0</v>
      </c>
      <c r="CX59" s="22">
        <f t="shared" si="54"/>
        <v>0</v>
      </c>
      <c r="CY59" s="22">
        <f t="shared" si="54"/>
        <v>0</v>
      </c>
      <c r="CZ59" s="22">
        <f t="shared" si="54"/>
        <v>0</v>
      </c>
      <c r="DA59" s="22">
        <f t="shared" si="54"/>
        <v>0</v>
      </c>
      <c r="DB59" s="22">
        <f t="shared" si="54"/>
        <v>0</v>
      </c>
      <c r="DC59" s="22">
        <f t="shared" si="54"/>
        <v>0</v>
      </c>
      <c r="DD59" s="22">
        <f t="shared" si="54"/>
        <v>0</v>
      </c>
      <c r="DE59" s="22">
        <f t="shared" si="54"/>
        <v>0</v>
      </c>
      <c r="DF59" s="22">
        <f t="shared" si="54"/>
        <v>0</v>
      </c>
      <c r="DG59" s="22">
        <f t="shared" si="54"/>
        <v>0</v>
      </c>
      <c r="DH59" s="22">
        <f t="shared" si="54"/>
        <v>0</v>
      </c>
      <c r="DI59" s="22">
        <f t="shared" si="55"/>
        <v>0</v>
      </c>
      <c r="DJ59" s="22">
        <f t="shared" si="55"/>
        <v>0</v>
      </c>
      <c r="DK59" s="22">
        <f t="shared" si="55"/>
        <v>0</v>
      </c>
      <c r="DM59" s="26">
        <f t="shared" si="26"/>
        <v>0</v>
      </c>
      <c r="DN59" s="26">
        <f t="shared" si="27"/>
        <v>0</v>
      </c>
      <c r="DO59" s="26">
        <f t="shared" si="28"/>
        <v>0</v>
      </c>
    </row>
    <row r="60" spans="1:119" ht="47.25" customHeight="1" x14ac:dyDescent="0.25">
      <c r="A60" s="199"/>
      <c r="B60" s="190"/>
      <c r="C60" s="30" t="s">
        <v>198</v>
      </c>
      <c r="D60" s="19" t="s">
        <v>199</v>
      </c>
      <c r="E60" s="20">
        <v>520</v>
      </c>
      <c r="F60" s="21" t="s">
        <v>200</v>
      </c>
      <c r="G60" s="22">
        <f t="shared" si="47"/>
        <v>6000000</v>
      </c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>
        <f>2000000+4000000</f>
        <v>6000000</v>
      </c>
      <c r="AB60" s="23">
        <f t="shared" si="1"/>
        <v>0.11666666666666667</v>
      </c>
      <c r="AC60" s="22">
        <f t="shared" ref="AC60:AC78" si="58">SUM(AD60:AW60)</f>
        <v>700000</v>
      </c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>
        <f>+'[8]ABRIL 2017'!$G$1288</f>
        <v>700000</v>
      </c>
      <c r="AX60" s="23">
        <f t="shared" si="3"/>
        <v>0.8833333333333333</v>
      </c>
      <c r="AY60" s="22">
        <f t="shared" si="48"/>
        <v>5300000</v>
      </c>
      <c r="AZ60" s="22">
        <f t="shared" si="56"/>
        <v>0</v>
      </c>
      <c r="BA60" s="22">
        <f t="shared" si="49"/>
        <v>0</v>
      </c>
      <c r="BB60" s="22">
        <f t="shared" si="49"/>
        <v>0</v>
      </c>
      <c r="BC60" s="22">
        <f t="shared" si="49"/>
        <v>0</v>
      </c>
      <c r="BD60" s="22">
        <f t="shared" si="49"/>
        <v>0</v>
      </c>
      <c r="BE60" s="22">
        <f t="shared" si="49"/>
        <v>0</v>
      </c>
      <c r="BF60" s="22">
        <f t="shared" si="49"/>
        <v>0</v>
      </c>
      <c r="BG60" s="22">
        <f t="shared" si="49"/>
        <v>0</v>
      </c>
      <c r="BH60" s="22">
        <f t="shared" si="49"/>
        <v>0</v>
      </c>
      <c r="BI60" s="22">
        <f t="shared" si="49"/>
        <v>0</v>
      </c>
      <c r="BJ60" s="22">
        <f t="shared" si="49"/>
        <v>0</v>
      </c>
      <c r="BK60" s="22">
        <f t="shared" si="49"/>
        <v>0</v>
      </c>
      <c r="BL60" s="22">
        <f t="shared" si="49"/>
        <v>0</v>
      </c>
      <c r="BM60" s="22">
        <f t="shared" si="49"/>
        <v>0</v>
      </c>
      <c r="BN60" s="22">
        <f t="shared" si="49"/>
        <v>0</v>
      </c>
      <c r="BO60" s="22">
        <f t="shared" si="49"/>
        <v>0</v>
      </c>
      <c r="BP60" s="22">
        <f t="shared" si="49"/>
        <v>0</v>
      </c>
      <c r="BQ60" s="22">
        <f t="shared" si="50"/>
        <v>0</v>
      </c>
      <c r="BR60" s="22">
        <f t="shared" si="50"/>
        <v>0</v>
      </c>
      <c r="BS60" s="22">
        <f t="shared" si="50"/>
        <v>5300000</v>
      </c>
      <c r="BT60" s="23">
        <f t="shared" si="7"/>
        <v>0.11666666666666667</v>
      </c>
      <c r="BU60" s="22">
        <f t="shared" si="51"/>
        <v>700000</v>
      </c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>
        <f>+'[8]ABRIL 2017'!$H$1288</f>
        <v>700000</v>
      </c>
      <c r="CP60" s="23">
        <f t="shared" si="52"/>
        <v>0.8833333333333333</v>
      </c>
      <c r="CQ60" s="22">
        <f t="shared" si="53"/>
        <v>5300000</v>
      </c>
      <c r="CR60" s="22">
        <f t="shared" si="57"/>
        <v>0</v>
      </c>
      <c r="CS60" s="22">
        <f t="shared" si="54"/>
        <v>0</v>
      </c>
      <c r="CT60" s="22">
        <f t="shared" si="54"/>
        <v>0</v>
      </c>
      <c r="CU60" s="22">
        <f t="shared" si="54"/>
        <v>0</v>
      </c>
      <c r="CV60" s="22">
        <f t="shared" si="54"/>
        <v>0</v>
      </c>
      <c r="CW60" s="22">
        <f t="shared" si="54"/>
        <v>0</v>
      </c>
      <c r="CX60" s="22">
        <f t="shared" si="54"/>
        <v>0</v>
      </c>
      <c r="CY60" s="22">
        <f t="shared" si="54"/>
        <v>0</v>
      </c>
      <c r="CZ60" s="22">
        <f t="shared" si="54"/>
        <v>0</v>
      </c>
      <c r="DA60" s="22">
        <f t="shared" si="54"/>
        <v>0</v>
      </c>
      <c r="DB60" s="22">
        <f t="shared" si="54"/>
        <v>0</v>
      </c>
      <c r="DC60" s="22">
        <f t="shared" si="54"/>
        <v>0</v>
      </c>
      <c r="DD60" s="22">
        <f t="shared" si="54"/>
        <v>0</v>
      </c>
      <c r="DE60" s="22">
        <f t="shared" si="54"/>
        <v>0</v>
      </c>
      <c r="DF60" s="22">
        <f t="shared" si="54"/>
        <v>0</v>
      </c>
      <c r="DG60" s="22">
        <f t="shared" si="54"/>
        <v>0</v>
      </c>
      <c r="DH60" s="22">
        <f t="shared" si="54"/>
        <v>0</v>
      </c>
      <c r="DI60" s="22">
        <f t="shared" si="55"/>
        <v>0</v>
      </c>
      <c r="DJ60" s="22">
        <f t="shared" si="55"/>
        <v>0</v>
      </c>
      <c r="DK60" s="22">
        <f t="shared" si="55"/>
        <v>5300000</v>
      </c>
      <c r="DM60" s="26">
        <f t="shared" si="26"/>
        <v>6000000</v>
      </c>
      <c r="DN60" s="26">
        <f t="shared" si="27"/>
        <v>6000000</v>
      </c>
      <c r="DO60" s="26">
        <f t="shared" si="28"/>
        <v>6000000</v>
      </c>
    </row>
    <row r="61" spans="1:119" ht="34.5" customHeight="1" x14ac:dyDescent="0.25">
      <c r="A61" s="199"/>
      <c r="B61" s="64" t="s">
        <v>201</v>
      </c>
      <c r="C61" s="30" t="s">
        <v>202</v>
      </c>
      <c r="D61" s="19" t="s">
        <v>203</v>
      </c>
      <c r="E61" s="20">
        <v>520</v>
      </c>
      <c r="F61" s="21" t="s">
        <v>204</v>
      </c>
      <c r="G61" s="22">
        <f t="shared" si="47"/>
        <v>70000000</v>
      </c>
      <c r="H61" s="22"/>
      <c r="I61" s="22">
        <v>20000000</v>
      </c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>
        <f>10000000+30000000+10000000</f>
        <v>50000000</v>
      </c>
      <c r="W61" s="22"/>
      <c r="X61" s="22"/>
      <c r="Y61" s="22"/>
      <c r="Z61" s="22"/>
      <c r="AA61" s="22">
        <f>4826876-4826876</f>
        <v>0</v>
      </c>
      <c r="AB61" s="23">
        <f t="shared" si="1"/>
        <v>0.60077199999999997</v>
      </c>
      <c r="AC61" s="22">
        <f t="shared" si="58"/>
        <v>42054040</v>
      </c>
      <c r="AD61" s="22"/>
      <c r="AE61" s="22">
        <f>+'[8]ABRIL 2017'!$K$1297</f>
        <v>20000000</v>
      </c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>
        <f>+'[5]AGOSTO 2017'!$X$2785</f>
        <v>22054040</v>
      </c>
      <c r="AS61" s="22"/>
      <c r="AT61" s="22"/>
      <c r="AU61" s="22"/>
      <c r="AV61" s="22"/>
      <c r="AW61" s="22"/>
      <c r="AX61" s="23">
        <f t="shared" si="3"/>
        <v>0.39922800000000003</v>
      </c>
      <c r="AY61" s="22">
        <f t="shared" si="48"/>
        <v>27945960</v>
      </c>
      <c r="AZ61" s="22">
        <f t="shared" si="56"/>
        <v>0</v>
      </c>
      <c r="BA61" s="22">
        <f t="shared" si="49"/>
        <v>0</v>
      </c>
      <c r="BB61" s="22">
        <f t="shared" si="49"/>
        <v>0</v>
      </c>
      <c r="BC61" s="22">
        <f t="shared" si="49"/>
        <v>0</v>
      </c>
      <c r="BD61" s="22">
        <f t="shared" si="49"/>
        <v>0</v>
      </c>
      <c r="BE61" s="22">
        <f t="shared" si="49"/>
        <v>0</v>
      </c>
      <c r="BF61" s="22">
        <f t="shared" si="49"/>
        <v>0</v>
      </c>
      <c r="BG61" s="22">
        <f t="shared" si="49"/>
        <v>0</v>
      </c>
      <c r="BH61" s="22">
        <f t="shared" si="49"/>
        <v>0</v>
      </c>
      <c r="BI61" s="22">
        <f t="shared" si="49"/>
        <v>0</v>
      </c>
      <c r="BJ61" s="22">
        <f t="shared" si="49"/>
        <v>0</v>
      </c>
      <c r="BK61" s="22">
        <f t="shared" si="49"/>
        <v>0</v>
      </c>
      <c r="BL61" s="22">
        <f t="shared" si="49"/>
        <v>0</v>
      </c>
      <c r="BM61" s="22">
        <f t="shared" si="49"/>
        <v>0</v>
      </c>
      <c r="BN61" s="22">
        <f t="shared" si="49"/>
        <v>27945960</v>
      </c>
      <c r="BO61" s="22">
        <f t="shared" si="49"/>
        <v>0</v>
      </c>
      <c r="BP61" s="22">
        <f t="shared" si="49"/>
        <v>0</v>
      </c>
      <c r="BQ61" s="22">
        <f t="shared" si="50"/>
        <v>0</v>
      </c>
      <c r="BR61" s="22">
        <f t="shared" si="50"/>
        <v>0</v>
      </c>
      <c r="BS61" s="22">
        <f t="shared" si="50"/>
        <v>0</v>
      </c>
      <c r="BT61" s="23">
        <f t="shared" si="7"/>
        <v>0.60077199999999997</v>
      </c>
      <c r="BU61" s="22">
        <f t="shared" si="51"/>
        <v>42054040</v>
      </c>
      <c r="BV61" s="22"/>
      <c r="BW61" s="22">
        <f>+'[4]MAYO 2017'!$H$1506+'[4]MAYO 2017'!$H$1509+'[4]MAYO 2017'!$H$1523</f>
        <v>20000000</v>
      </c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>
        <f>+'[5]AGOSTO 2017'!$H$2783-BW61</f>
        <v>22054040</v>
      </c>
      <c r="CK61" s="22"/>
      <c r="CL61" s="22"/>
      <c r="CM61" s="22"/>
      <c r="CN61" s="22"/>
      <c r="CO61" s="22"/>
      <c r="CP61" s="23">
        <f t="shared" si="52"/>
        <v>0.39922800000000003</v>
      </c>
      <c r="CQ61" s="22">
        <f t="shared" si="53"/>
        <v>27945960</v>
      </c>
      <c r="CR61" s="22">
        <f t="shared" si="57"/>
        <v>0</v>
      </c>
      <c r="CS61" s="22">
        <f t="shared" si="54"/>
        <v>0</v>
      </c>
      <c r="CT61" s="22">
        <f t="shared" si="54"/>
        <v>0</v>
      </c>
      <c r="CU61" s="22">
        <f t="shared" si="54"/>
        <v>0</v>
      </c>
      <c r="CV61" s="22">
        <f t="shared" si="54"/>
        <v>0</v>
      </c>
      <c r="CW61" s="22">
        <f t="shared" si="54"/>
        <v>0</v>
      </c>
      <c r="CX61" s="22">
        <f t="shared" si="54"/>
        <v>0</v>
      </c>
      <c r="CY61" s="22">
        <f t="shared" si="54"/>
        <v>0</v>
      </c>
      <c r="CZ61" s="22">
        <f t="shared" si="54"/>
        <v>0</v>
      </c>
      <c r="DA61" s="22">
        <f t="shared" si="54"/>
        <v>0</v>
      </c>
      <c r="DB61" s="22">
        <f t="shared" si="54"/>
        <v>0</v>
      </c>
      <c r="DC61" s="22">
        <f t="shared" si="54"/>
        <v>0</v>
      </c>
      <c r="DD61" s="22">
        <f t="shared" si="54"/>
        <v>0</v>
      </c>
      <c r="DE61" s="22">
        <f t="shared" si="54"/>
        <v>0</v>
      </c>
      <c r="DF61" s="22">
        <f t="shared" si="54"/>
        <v>27945960</v>
      </c>
      <c r="DG61" s="22">
        <f t="shared" si="54"/>
        <v>0</v>
      </c>
      <c r="DH61" s="22">
        <f t="shared" si="54"/>
        <v>0</v>
      </c>
      <c r="DI61" s="22">
        <f t="shared" si="55"/>
        <v>0</v>
      </c>
      <c r="DJ61" s="22">
        <f t="shared" si="55"/>
        <v>0</v>
      </c>
      <c r="DK61" s="22">
        <f t="shared" si="55"/>
        <v>0</v>
      </c>
      <c r="DM61" s="26">
        <f t="shared" si="26"/>
        <v>70000000</v>
      </c>
      <c r="DN61" s="26">
        <f t="shared" si="27"/>
        <v>70000000</v>
      </c>
      <c r="DO61" s="26">
        <f t="shared" si="28"/>
        <v>70000000</v>
      </c>
    </row>
    <row r="62" spans="1:119" ht="36.75" customHeight="1" x14ac:dyDescent="0.25">
      <c r="A62" s="199"/>
      <c r="B62" s="191" t="s">
        <v>205</v>
      </c>
      <c r="C62" s="30" t="s">
        <v>206</v>
      </c>
      <c r="D62" s="19" t="s">
        <v>207</v>
      </c>
      <c r="E62" s="20">
        <v>520</v>
      </c>
      <c r="F62" s="21" t="s">
        <v>107</v>
      </c>
      <c r="G62" s="22">
        <f t="shared" si="47"/>
        <v>20000000</v>
      </c>
      <c r="H62" s="33"/>
      <c r="I62" s="33"/>
      <c r="J62" s="33"/>
      <c r="K62" s="33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>
        <f>130000000-110000000</f>
        <v>20000000</v>
      </c>
      <c r="W62" s="22"/>
      <c r="X62" s="22"/>
      <c r="Y62" s="22"/>
      <c r="Z62" s="22"/>
      <c r="AA62" s="22"/>
      <c r="AB62" s="23">
        <f t="shared" si="1"/>
        <v>1</v>
      </c>
      <c r="AC62" s="22">
        <f t="shared" si="58"/>
        <v>20000000</v>
      </c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>
        <f>+'[2]FEBRERO 2017'!$X$1124</f>
        <v>20000000</v>
      </c>
      <c r="AS62" s="22"/>
      <c r="AT62" s="22"/>
      <c r="AU62" s="22"/>
      <c r="AV62" s="22"/>
      <c r="AW62" s="22"/>
      <c r="AX62" s="23">
        <f t="shared" si="3"/>
        <v>0</v>
      </c>
      <c r="AY62" s="22">
        <f t="shared" si="48"/>
        <v>0</v>
      </c>
      <c r="AZ62" s="22">
        <f t="shared" si="56"/>
        <v>0</v>
      </c>
      <c r="BA62" s="22">
        <f t="shared" si="49"/>
        <v>0</v>
      </c>
      <c r="BB62" s="22">
        <f t="shared" si="49"/>
        <v>0</v>
      </c>
      <c r="BC62" s="22">
        <f t="shared" si="49"/>
        <v>0</v>
      </c>
      <c r="BD62" s="22">
        <f t="shared" si="49"/>
        <v>0</v>
      </c>
      <c r="BE62" s="22">
        <f t="shared" si="49"/>
        <v>0</v>
      </c>
      <c r="BF62" s="22">
        <f t="shared" si="49"/>
        <v>0</v>
      </c>
      <c r="BG62" s="22">
        <f t="shared" si="49"/>
        <v>0</v>
      </c>
      <c r="BH62" s="22">
        <f t="shared" si="49"/>
        <v>0</v>
      </c>
      <c r="BI62" s="22">
        <f t="shared" si="49"/>
        <v>0</v>
      </c>
      <c r="BJ62" s="22">
        <f t="shared" si="49"/>
        <v>0</v>
      </c>
      <c r="BK62" s="22">
        <f t="shared" si="49"/>
        <v>0</v>
      </c>
      <c r="BL62" s="22">
        <f t="shared" si="49"/>
        <v>0</v>
      </c>
      <c r="BM62" s="22">
        <f t="shared" si="49"/>
        <v>0</v>
      </c>
      <c r="BN62" s="22">
        <f t="shared" si="49"/>
        <v>0</v>
      </c>
      <c r="BO62" s="22">
        <f t="shared" si="49"/>
        <v>0</v>
      </c>
      <c r="BP62" s="22">
        <f t="shared" si="49"/>
        <v>0</v>
      </c>
      <c r="BQ62" s="22">
        <f t="shared" si="50"/>
        <v>0</v>
      </c>
      <c r="BR62" s="22">
        <f t="shared" si="50"/>
        <v>0</v>
      </c>
      <c r="BS62" s="22">
        <f t="shared" si="50"/>
        <v>0</v>
      </c>
      <c r="BT62" s="23">
        <f t="shared" si="7"/>
        <v>0.60764359999999995</v>
      </c>
      <c r="BU62" s="22">
        <f t="shared" si="51"/>
        <v>12152872</v>
      </c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>
        <f>+'[5]AGOSTO 2017'!$H$2829</f>
        <v>12152872</v>
      </c>
      <c r="CK62" s="22"/>
      <c r="CL62" s="22"/>
      <c r="CM62" s="22"/>
      <c r="CN62" s="22"/>
      <c r="CO62" s="22"/>
      <c r="CP62" s="23">
        <f t="shared" si="52"/>
        <v>0.39235640000000005</v>
      </c>
      <c r="CQ62" s="22">
        <f t="shared" si="53"/>
        <v>7847128</v>
      </c>
      <c r="CR62" s="22">
        <f t="shared" si="57"/>
        <v>0</v>
      </c>
      <c r="CS62" s="22">
        <f t="shared" si="54"/>
        <v>0</v>
      </c>
      <c r="CT62" s="22">
        <f t="shared" si="54"/>
        <v>0</v>
      </c>
      <c r="CU62" s="22">
        <f t="shared" si="54"/>
        <v>0</v>
      </c>
      <c r="CV62" s="22">
        <f t="shared" si="54"/>
        <v>0</v>
      </c>
      <c r="CW62" s="22">
        <f t="shared" si="54"/>
        <v>0</v>
      </c>
      <c r="CX62" s="22">
        <f t="shared" si="54"/>
        <v>0</v>
      </c>
      <c r="CY62" s="22">
        <f t="shared" si="54"/>
        <v>0</v>
      </c>
      <c r="CZ62" s="22">
        <f t="shared" si="54"/>
        <v>0</v>
      </c>
      <c r="DA62" s="22">
        <f t="shared" si="54"/>
        <v>0</v>
      </c>
      <c r="DB62" s="22">
        <f t="shared" si="54"/>
        <v>0</v>
      </c>
      <c r="DC62" s="22">
        <f t="shared" si="54"/>
        <v>0</v>
      </c>
      <c r="DD62" s="22">
        <f t="shared" si="54"/>
        <v>0</v>
      </c>
      <c r="DE62" s="22">
        <f t="shared" si="54"/>
        <v>0</v>
      </c>
      <c r="DF62" s="22">
        <f t="shared" si="54"/>
        <v>7847128</v>
      </c>
      <c r="DG62" s="22">
        <f t="shared" si="54"/>
        <v>0</v>
      </c>
      <c r="DH62" s="22">
        <f t="shared" si="54"/>
        <v>0</v>
      </c>
      <c r="DI62" s="22">
        <f t="shared" si="55"/>
        <v>0</v>
      </c>
      <c r="DJ62" s="22">
        <f t="shared" si="55"/>
        <v>0</v>
      </c>
      <c r="DK62" s="22">
        <f t="shared" si="55"/>
        <v>0</v>
      </c>
      <c r="DM62" s="26">
        <f t="shared" si="26"/>
        <v>20000000</v>
      </c>
      <c r="DN62" s="26">
        <f t="shared" si="27"/>
        <v>20000000</v>
      </c>
      <c r="DO62" s="26">
        <f t="shared" si="28"/>
        <v>20000000</v>
      </c>
    </row>
    <row r="63" spans="1:119" ht="33.75" customHeight="1" x14ac:dyDescent="0.25">
      <c r="A63" s="199"/>
      <c r="B63" s="189"/>
      <c r="C63" s="30" t="s">
        <v>208</v>
      </c>
      <c r="D63" s="19" t="s">
        <v>209</v>
      </c>
      <c r="E63" s="20">
        <v>520</v>
      </c>
      <c r="F63" s="21" t="s">
        <v>112</v>
      </c>
      <c r="G63" s="22">
        <f t="shared" si="47"/>
        <v>1030432040</v>
      </c>
      <c r="H63" s="49"/>
      <c r="I63" s="33"/>
      <c r="J63" s="33"/>
      <c r="K63" s="33"/>
      <c r="L63" s="22"/>
      <c r="M63" s="22"/>
      <c r="N63" s="22"/>
      <c r="O63" s="22"/>
      <c r="P63" s="22"/>
      <c r="Q63" s="22"/>
      <c r="R63" s="22"/>
      <c r="S63" s="22">
        <f>1000000000+18432040</f>
        <v>1018432040</v>
      </c>
      <c r="T63" s="22"/>
      <c r="U63" s="22"/>
      <c r="V63" s="22"/>
      <c r="W63" s="22"/>
      <c r="X63" s="22"/>
      <c r="Y63" s="22"/>
      <c r="Z63" s="22"/>
      <c r="AA63" s="22">
        <f>12000000</f>
        <v>12000000</v>
      </c>
      <c r="AB63" s="23">
        <f t="shared" si="1"/>
        <v>0.75768793058880424</v>
      </c>
      <c r="AC63" s="22">
        <f t="shared" si="58"/>
        <v>780745920</v>
      </c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>
        <f>+'[4]MAYO 2017'!$U$1546</f>
        <v>780745920</v>
      </c>
      <c r="AP63" s="22"/>
      <c r="AQ63" s="22"/>
      <c r="AR63" s="22"/>
      <c r="AS63" s="22"/>
      <c r="AT63" s="22"/>
      <c r="AU63" s="22"/>
      <c r="AV63" s="22"/>
      <c r="AW63" s="22"/>
      <c r="AX63" s="23">
        <f t="shared" si="3"/>
        <v>0.24231206941119576</v>
      </c>
      <c r="AY63" s="22">
        <f t="shared" si="48"/>
        <v>249686120</v>
      </c>
      <c r="AZ63" s="22">
        <f t="shared" si="56"/>
        <v>0</v>
      </c>
      <c r="BA63" s="22">
        <f t="shared" si="49"/>
        <v>0</v>
      </c>
      <c r="BB63" s="22">
        <f t="shared" si="49"/>
        <v>0</v>
      </c>
      <c r="BC63" s="22">
        <f t="shared" si="49"/>
        <v>0</v>
      </c>
      <c r="BD63" s="22">
        <f t="shared" si="49"/>
        <v>0</v>
      </c>
      <c r="BE63" s="22">
        <f t="shared" si="49"/>
        <v>0</v>
      </c>
      <c r="BF63" s="22">
        <f t="shared" si="49"/>
        <v>0</v>
      </c>
      <c r="BG63" s="22">
        <f t="shared" si="49"/>
        <v>0</v>
      </c>
      <c r="BH63" s="22">
        <f t="shared" si="49"/>
        <v>0</v>
      </c>
      <c r="BI63" s="22">
        <f t="shared" si="49"/>
        <v>0</v>
      </c>
      <c r="BJ63" s="22">
        <f t="shared" si="49"/>
        <v>0</v>
      </c>
      <c r="BK63" s="22">
        <f t="shared" si="49"/>
        <v>237686120</v>
      </c>
      <c r="BL63" s="22">
        <f t="shared" si="49"/>
        <v>0</v>
      </c>
      <c r="BM63" s="22">
        <f t="shared" si="49"/>
        <v>0</v>
      </c>
      <c r="BN63" s="22">
        <f t="shared" si="49"/>
        <v>0</v>
      </c>
      <c r="BO63" s="22">
        <f t="shared" si="49"/>
        <v>0</v>
      </c>
      <c r="BP63" s="22">
        <f t="shared" si="49"/>
        <v>0</v>
      </c>
      <c r="BQ63" s="22">
        <f t="shared" si="50"/>
        <v>0</v>
      </c>
      <c r="BR63" s="22">
        <f t="shared" si="50"/>
        <v>0</v>
      </c>
      <c r="BS63" s="22">
        <f t="shared" si="50"/>
        <v>12000000</v>
      </c>
      <c r="BT63" s="23">
        <f t="shared" si="7"/>
        <v>0.75366372730413156</v>
      </c>
      <c r="BU63" s="22">
        <f t="shared" si="51"/>
        <v>776599252</v>
      </c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>
        <f>+'[5]AGOSTO 2017'!$H$2840</f>
        <v>776599252</v>
      </c>
      <c r="CH63" s="22"/>
      <c r="CI63" s="22"/>
      <c r="CJ63" s="22"/>
      <c r="CK63" s="22"/>
      <c r="CL63" s="22"/>
      <c r="CM63" s="22"/>
      <c r="CN63" s="22"/>
      <c r="CO63" s="22"/>
      <c r="CP63" s="23">
        <f t="shared" si="52"/>
        <v>0.24633627269586844</v>
      </c>
      <c r="CQ63" s="22">
        <f t="shared" si="53"/>
        <v>253832788</v>
      </c>
      <c r="CR63" s="22">
        <f t="shared" si="57"/>
        <v>0</v>
      </c>
      <c r="CS63" s="22">
        <f t="shared" si="54"/>
        <v>0</v>
      </c>
      <c r="CT63" s="22">
        <f t="shared" si="54"/>
        <v>0</v>
      </c>
      <c r="CU63" s="22">
        <f t="shared" si="54"/>
        <v>0</v>
      </c>
      <c r="CV63" s="22">
        <f t="shared" si="54"/>
        <v>0</v>
      </c>
      <c r="CW63" s="22">
        <f t="shared" si="54"/>
        <v>0</v>
      </c>
      <c r="CX63" s="22">
        <f t="shared" si="54"/>
        <v>0</v>
      </c>
      <c r="CY63" s="22">
        <f t="shared" si="54"/>
        <v>0</v>
      </c>
      <c r="CZ63" s="22">
        <f t="shared" si="54"/>
        <v>0</v>
      </c>
      <c r="DA63" s="22">
        <f t="shared" si="54"/>
        <v>0</v>
      </c>
      <c r="DB63" s="22">
        <f t="shared" si="54"/>
        <v>0</v>
      </c>
      <c r="DC63" s="22">
        <f t="shared" si="54"/>
        <v>241832788</v>
      </c>
      <c r="DD63" s="22">
        <f t="shared" si="54"/>
        <v>0</v>
      </c>
      <c r="DE63" s="22">
        <f t="shared" si="54"/>
        <v>0</v>
      </c>
      <c r="DF63" s="22">
        <f t="shared" si="54"/>
        <v>0</v>
      </c>
      <c r="DG63" s="22">
        <f t="shared" si="54"/>
        <v>0</v>
      </c>
      <c r="DH63" s="22">
        <f t="shared" si="54"/>
        <v>0</v>
      </c>
      <c r="DI63" s="22">
        <f t="shared" si="55"/>
        <v>0</v>
      </c>
      <c r="DJ63" s="22">
        <f t="shared" si="55"/>
        <v>0</v>
      </c>
      <c r="DK63" s="22">
        <f t="shared" si="55"/>
        <v>12000000</v>
      </c>
      <c r="DM63" s="26">
        <f t="shared" si="26"/>
        <v>1030432040</v>
      </c>
      <c r="DN63" s="26">
        <f t="shared" si="27"/>
        <v>1030432040</v>
      </c>
      <c r="DO63" s="26">
        <f t="shared" si="28"/>
        <v>1030432040</v>
      </c>
    </row>
    <row r="64" spans="1:119" ht="53.25" customHeight="1" x14ac:dyDescent="0.25">
      <c r="A64" s="199"/>
      <c r="B64" s="189"/>
      <c r="C64" s="30" t="s">
        <v>210</v>
      </c>
      <c r="D64" s="19" t="s">
        <v>211</v>
      </c>
      <c r="E64" s="20">
        <v>520</v>
      </c>
      <c r="F64" s="21" t="s">
        <v>212</v>
      </c>
      <c r="G64" s="22">
        <f t="shared" si="47"/>
        <v>205000000</v>
      </c>
      <c r="H64" s="33"/>
      <c r="I64" s="33"/>
      <c r="J64" s="33"/>
      <c r="K64" s="33"/>
      <c r="L64" s="33"/>
      <c r="M64" s="22"/>
      <c r="N64" s="22"/>
      <c r="O64" s="22"/>
      <c r="P64" s="22"/>
      <c r="Q64" s="22"/>
      <c r="R64" s="22"/>
      <c r="S64" s="22"/>
      <c r="T64" s="22"/>
      <c r="U64" s="22"/>
      <c r="V64" s="22">
        <f>50000000+110000000</f>
        <v>160000000</v>
      </c>
      <c r="W64" s="22"/>
      <c r="X64" s="22"/>
      <c r="Y64" s="22"/>
      <c r="Z64" s="22"/>
      <c r="AA64" s="22">
        <f>44000000+1000000</f>
        <v>45000000</v>
      </c>
      <c r="AB64" s="23">
        <f t="shared" si="1"/>
        <v>0.96002014146341463</v>
      </c>
      <c r="AC64" s="22">
        <f t="shared" si="58"/>
        <v>196804129</v>
      </c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>
        <f>+'[3]JUNIO 2017'!$X$1898</f>
        <v>158593999</v>
      </c>
      <c r="AS64" s="22"/>
      <c r="AT64" s="22"/>
      <c r="AU64" s="22"/>
      <c r="AV64" s="22"/>
      <c r="AW64" s="22">
        <f>+'[5]AGOSTO 2017'!$AC$2911</f>
        <v>38210130</v>
      </c>
      <c r="AX64" s="23">
        <f t="shared" si="3"/>
        <v>3.9979858536585366E-2</v>
      </c>
      <c r="AY64" s="22">
        <f t="shared" si="48"/>
        <v>8195871</v>
      </c>
      <c r="AZ64" s="22">
        <f t="shared" si="56"/>
        <v>0</v>
      </c>
      <c r="BA64" s="22">
        <f t="shared" si="49"/>
        <v>0</v>
      </c>
      <c r="BB64" s="22">
        <f t="shared" si="49"/>
        <v>0</v>
      </c>
      <c r="BC64" s="22">
        <f t="shared" si="49"/>
        <v>0</v>
      </c>
      <c r="BD64" s="22">
        <f t="shared" si="49"/>
        <v>0</v>
      </c>
      <c r="BE64" s="22">
        <f t="shared" si="49"/>
        <v>0</v>
      </c>
      <c r="BF64" s="22">
        <f t="shared" si="49"/>
        <v>0</v>
      </c>
      <c r="BG64" s="22">
        <f t="shared" si="49"/>
        <v>0</v>
      </c>
      <c r="BH64" s="22">
        <f t="shared" si="49"/>
        <v>0</v>
      </c>
      <c r="BI64" s="22">
        <f t="shared" si="49"/>
        <v>0</v>
      </c>
      <c r="BJ64" s="22">
        <f t="shared" si="49"/>
        <v>0</v>
      </c>
      <c r="BK64" s="22">
        <f t="shared" si="49"/>
        <v>0</v>
      </c>
      <c r="BL64" s="22">
        <f t="shared" si="49"/>
        <v>0</v>
      </c>
      <c r="BM64" s="22">
        <f t="shared" si="49"/>
        <v>0</v>
      </c>
      <c r="BN64" s="22">
        <f t="shared" si="49"/>
        <v>1406001</v>
      </c>
      <c r="BO64" s="22">
        <f t="shared" si="49"/>
        <v>0</v>
      </c>
      <c r="BP64" s="22">
        <f t="shared" si="49"/>
        <v>0</v>
      </c>
      <c r="BQ64" s="22">
        <f t="shared" si="50"/>
        <v>0</v>
      </c>
      <c r="BR64" s="22">
        <f t="shared" si="50"/>
        <v>0</v>
      </c>
      <c r="BS64" s="22">
        <f t="shared" si="50"/>
        <v>6789870</v>
      </c>
      <c r="BT64" s="23">
        <f t="shared" si="7"/>
        <v>0.54040107804878046</v>
      </c>
      <c r="BU64" s="22">
        <f t="shared" si="51"/>
        <v>110782221</v>
      </c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>
        <f>+'[5]AGOSTO 2017'!$H$2912+'[5]AGOSTO 2017'!$H$2917+'[5]AGOSTO 2017'!$H$2927+'[5]AGOSTO 2017'!$H$2938+'[5]AGOSTO 2017'!$H$2957+'[5]AGOSTO 2017'!$H$2963+'[5]AGOSTO 2017'!$H$2969+'[5]AGOSTO 2017'!$H$2985+'[5]AGOSTO 2017'!$H$3004+'[5]AGOSTO 2017'!$H$3006+'[5]AGOSTO 2017'!$H$3017+'[5]AGOSTO 2017'!$H$3041+'[5]AGOSTO 2017'!$H$3046</f>
        <v>79031649</v>
      </c>
      <c r="CK64" s="22"/>
      <c r="CL64" s="22"/>
      <c r="CM64" s="22"/>
      <c r="CN64" s="22"/>
      <c r="CO64" s="22">
        <f>+'[5]AGOSTO 2017'!$H$2914+'[5]AGOSTO 2017'!$H$2915+'[5]AGOSTO 2017'!$H$2916+'[5]AGOSTO 2017'!$H$2943+'[5]AGOSTO 2017'!$H$2944+'[5]AGOSTO 2017'!$H$2968+'[5]AGOSTO 2017'!$H$3049+'[5]AGOSTO 2017'!$H$3058+'[5]AGOSTO 2017'!$H$3059+'[5]AGOSTO 2017'!$H$3061+'[5]AGOSTO 2017'!$H$3062+'[5]AGOSTO 2017'!$H$3063+'[5]AGOSTO 2017'!$H$3065+'[5]AGOSTO 2017'!$H$3066+'[5]AGOSTO 2017'!$H$3071+'[5]AGOSTO 2017'!$H$3073+'[5]AGOSTO 2017'!$H$3075+'[5]AGOSTO 2017'!$H$3076</f>
        <v>31750572</v>
      </c>
      <c r="CP64" s="23">
        <f t="shared" si="52"/>
        <v>0.45959892195121954</v>
      </c>
      <c r="CQ64" s="22">
        <f t="shared" si="53"/>
        <v>94217779</v>
      </c>
      <c r="CR64" s="22">
        <f t="shared" si="57"/>
        <v>0</v>
      </c>
      <c r="CS64" s="22">
        <f t="shared" si="54"/>
        <v>0</v>
      </c>
      <c r="CT64" s="22">
        <f t="shared" si="54"/>
        <v>0</v>
      </c>
      <c r="CU64" s="22">
        <f t="shared" si="54"/>
        <v>0</v>
      </c>
      <c r="CV64" s="22">
        <f t="shared" si="54"/>
        <v>0</v>
      </c>
      <c r="CW64" s="22">
        <f t="shared" si="54"/>
        <v>0</v>
      </c>
      <c r="CX64" s="22">
        <f t="shared" si="54"/>
        <v>0</v>
      </c>
      <c r="CY64" s="22">
        <f t="shared" si="54"/>
        <v>0</v>
      </c>
      <c r="CZ64" s="22">
        <f t="shared" si="54"/>
        <v>0</v>
      </c>
      <c r="DA64" s="22">
        <f t="shared" si="54"/>
        <v>0</v>
      </c>
      <c r="DB64" s="22">
        <f t="shared" si="54"/>
        <v>0</v>
      </c>
      <c r="DC64" s="22">
        <f t="shared" si="54"/>
        <v>0</v>
      </c>
      <c r="DD64" s="22">
        <f t="shared" si="54"/>
        <v>0</v>
      </c>
      <c r="DE64" s="22">
        <f t="shared" si="54"/>
        <v>0</v>
      </c>
      <c r="DF64" s="22">
        <f t="shared" si="54"/>
        <v>80968351</v>
      </c>
      <c r="DG64" s="22">
        <f t="shared" si="54"/>
        <v>0</v>
      </c>
      <c r="DH64" s="22">
        <f t="shared" si="54"/>
        <v>0</v>
      </c>
      <c r="DI64" s="22">
        <f t="shared" si="55"/>
        <v>0</v>
      </c>
      <c r="DJ64" s="22">
        <f t="shared" si="55"/>
        <v>0</v>
      </c>
      <c r="DK64" s="22">
        <f t="shared" si="55"/>
        <v>13249428</v>
      </c>
      <c r="DM64" s="26">
        <f t="shared" si="26"/>
        <v>205000000</v>
      </c>
      <c r="DN64" s="26">
        <f t="shared" si="27"/>
        <v>205000000</v>
      </c>
      <c r="DO64" s="26">
        <f t="shared" si="28"/>
        <v>205000000</v>
      </c>
    </row>
    <row r="65" spans="1:120" ht="34.5" customHeight="1" x14ac:dyDescent="0.25">
      <c r="A65" s="199"/>
      <c r="B65" s="189"/>
      <c r="C65" s="30" t="s">
        <v>213</v>
      </c>
      <c r="D65" s="19" t="s">
        <v>214</v>
      </c>
      <c r="E65" s="20">
        <v>520</v>
      </c>
      <c r="F65" s="21" t="s">
        <v>204</v>
      </c>
      <c r="G65" s="22">
        <f t="shared" si="47"/>
        <v>14500000</v>
      </c>
      <c r="H65" s="33"/>
      <c r="I65" s="33"/>
      <c r="J65" s="33"/>
      <c r="K65" s="33"/>
      <c r="L65" s="33"/>
      <c r="M65" s="22"/>
      <c r="N65" s="22"/>
      <c r="O65" s="22"/>
      <c r="P65" s="22"/>
      <c r="Q65" s="22"/>
      <c r="R65" s="22"/>
      <c r="S65" s="22"/>
      <c r="T65" s="22"/>
      <c r="U65" s="22"/>
      <c r="V65" s="22">
        <v>10000000</v>
      </c>
      <c r="W65" s="22"/>
      <c r="X65" s="22"/>
      <c r="Y65" s="22"/>
      <c r="Z65" s="22"/>
      <c r="AA65" s="22">
        <f>4500000</f>
        <v>4500000</v>
      </c>
      <c r="AB65" s="23">
        <f t="shared" si="1"/>
        <v>0.86202793103448272</v>
      </c>
      <c r="AC65" s="22">
        <f t="shared" si="58"/>
        <v>12499405</v>
      </c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>
        <f>+'[7]FEBRERO 2017'!$X$960</f>
        <v>8000000</v>
      </c>
      <c r="AS65" s="22"/>
      <c r="AT65" s="22"/>
      <c r="AU65" s="22"/>
      <c r="AV65" s="22"/>
      <c r="AW65" s="22">
        <f>+'[5]AGOSTO 2017'!$AC$3081</f>
        <v>4499405</v>
      </c>
      <c r="AX65" s="23">
        <f t="shared" si="3"/>
        <v>0.13797206896551728</v>
      </c>
      <c r="AY65" s="22">
        <f t="shared" si="48"/>
        <v>2000595</v>
      </c>
      <c r="AZ65" s="22">
        <f t="shared" si="56"/>
        <v>0</v>
      </c>
      <c r="BA65" s="22">
        <f t="shared" si="49"/>
        <v>0</v>
      </c>
      <c r="BB65" s="22">
        <f t="shared" si="49"/>
        <v>0</v>
      </c>
      <c r="BC65" s="22">
        <f t="shared" si="49"/>
        <v>0</v>
      </c>
      <c r="BD65" s="22">
        <f t="shared" si="49"/>
        <v>0</v>
      </c>
      <c r="BE65" s="22">
        <f t="shared" si="49"/>
        <v>0</v>
      </c>
      <c r="BF65" s="22">
        <f t="shared" si="49"/>
        <v>0</v>
      </c>
      <c r="BG65" s="22">
        <f t="shared" si="49"/>
        <v>0</v>
      </c>
      <c r="BH65" s="22">
        <f t="shared" si="49"/>
        <v>0</v>
      </c>
      <c r="BI65" s="22">
        <f t="shared" si="49"/>
        <v>0</v>
      </c>
      <c r="BJ65" s="22">
        <f t="shared" si="49"/>
        <v>0</v>
      </c>
      <c r="BK65" s="22">
        <f t="shared" si="49"/>
        <v>0</v>
      </c>
      <c r="BL65" s="22">
        <f t="shared" si="49"/>
        <v>0</v>
      </c>
      <c r="BM65" s="22">
        <f t="shared" si="49"/>
        <v>0</v>
      </c>
      <c r="BN65" s="22">
        <f t="shared" si="49"/>
        <v>2000000</v>
      </c>
      <c r="BO65" s="22">
        <f t="shared" si="49"/>
        <v>0</v>
      </c>
      <c r="BP65" s="22">
        <f t="shared" si="49"/>
        <v>0</v>
      </c>
      <c r="BQ65" s="22">
        <f t="shared" si="50"/>
        <v>0</v>
      </c>
      <c r="BR65" s="22">
        <f t="shared" si="50"/>
        <v>0</v>
      </c>
      <c r="BS65" s="22">
        <f t="shared" si="50"/>
        <v>595</v>
      </c>
      <c r="BT65" s="23">
        <f t="shared" si="7"/>
        <v>0.71199999999999997</v>
      </c>
      <c r="BU65" s="22">
        <f t="shared" si="51"/>
        <v>10324000</v>
      </c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>
        <f>+'[4]MAYO 2017'!$H$1665</f>
        <v>8000000</v>
      </c>
      <c r="CK65" s="22"/>
      <c r="CL65" s="22"/>
      <c r="CM65" s="22"/>
      <c r="CN65" s="22"/>
      <c r="CO65" s="22">
        <f>+'[5]AGOSTO 2017'!$H$3085</f>
        <v>2324000</v>
      </c>
      <c r="CP65" s="23">
        <f t="shared" si="52"/>
        <v>0.28800000000000003</v>
      </c>
      <c r="CQ65" s="22">
        <f t="shared" si="53"/>
        <v>4176000</v>
      </c>
      <c r="CR65" s="22">
        <f t="shared" si="57"/>
        <v>0</v>
      </c>
      <c r="CS65" s="22">
        <f t="shared" si="54"/>
        <v>0</v>
      </c>
      <c r="CT65" s="22">
        <f t="shared" si="54"/>
        <v>0</v>
      </c>
      <c r="CU65" s="22">
        <f t="shared" si="54"/>
        <v>0</v>
      </c>
      <c r="CV65" s="22">
        <f t="shared" si="54"/>
        <v>0</v>
      </c>
      <c r="CW65" s="22">
        <f t="shared" si="54"/>
        <v>0</v>
      </c>
      <c r="CX65" s="22">
        <f t="shared" si="54"/>
        <v>0</v>
      </c>
      <c r="CY65" s="22">
        <f t="shared" si="54"/>
        <v>0</v>
      </c>
      <c r="CZ65" s="22">
        <f t="shared" si="54"/>
        <v>0</v>
      </c>
      <c r="DA65" s="22">
        <f t="shared" si="54"/>
        <v>0</v>
      </c>
      <c r="DB65" s="22">
        <f t="shared" si="54"/>
        <v>0</v>
      </c>
      <c r="DC65" s="22">
        <f t="shared" si="54"/>
        <v>0</v>
      </c>
      <c r="DD65" s="22">
        <f t="shared" si="54"/>
        <v>0</v>
      </c>
      <c r="DE65" s="22">
        <f t="shared" si="54"/>
        <v>0</v>
      </c>
      <c r="DF65" s="22">
        <f t="shared" si="54"/>
        <v>2000000</v>
      </c>
      <c r="DG65" s="22">
        <f t="shared" si="54"/>
        <v>0</v>
      </c>
      <c r="DH65" s="22">
        <f t="shared" si="54"/>
        <v>0</v>
      </c>
      <c r="DI65" s="22">
        <f t="shared" si="55"/>
        <v>0</v>
      </c>
      <c r="DJ65" s="22">
        <f t="shared" si="55"/>
        <v>0</v>
      </c>
      <c r="DK65" s="22">
        <f t="shared" si="55"/>
        <v>2176000</v>
      </c>
      <c r="DM65" s="26">
        <f t="shared" si="26"/>
        <v>14500000</v>
      </c>
      <c r="DN65" s="26">
        <f t="shared" si="27"/>
        <v>14500000</v>
      </c>
      <c r="DO65" s="26">
        <f t="shared" si="28"/>
        <v>14500000</v>
      </c>
    </row>
    <row r="66" spans="1:120" ht="31.5" customHeight="1" x14ac:dyDescent="0.25">
      <c r="A66" s="199"/>
      <c r="B66" s="189"/>
      <c r="C66" s="30" t="s">
        <v>215</v>
      </c>
      <c r="D66" s="19" t="s">
        <v>216</v>
      </c>
      <c r="E66" s="20">
        <v>520</v>
      </c>
      <c r="F66" s="21" t="s">
        <v>151</v>
      </c>
      <c r="G66" s="22">
        <f t="shared" si="47"/>
        <v>11500000</v>
      </c>
      <c r="H66" s="33"/>
      <c r="I66" s="22">
        <v>10000000</v>
      </c>
      <c r="J66" s="33"/>
      <c r="K66" s="33"/>
      <c r="L66" s="33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>
        <v>1500000</v>
      </c>
      <c r="AB66" s="23">
        <f t="shared" si="1"/>
        <v>0.86956521739130432</v>
      </c>
      <c r="AC66" s="22">
        <f t="shared" si="58"/>
        <v>10000000</v>
      </c>
      <c r="AD66" s="22"/>
      <c r="AE66" s="22">
        <f>+'[5]AGOSTO 2017'!$K$3090</f>
        <v>10000000</v>
      </c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3">
        <f t="shared" si="3"/>
        <v>0.13043478260869568</v>
      </c>
      <c r="AY66" s="22">
        <f t="shared" si="48"/>
        <v>1500000</v>
      </c>
      <c r="AZ66" s="22">
        <f t="shared" si="56"/>
        <v>0</v>
      </c>
      <c r="BA66" s="22">
        <f t="shared" si="49"/>
        <v>0</v>
      </c>
      <c r="BB66" s="22">
        <f t="shared" si="49"/>
        <v>0</v>
      </c>
      <c r="BC66" s="22">
        <f t="shared" si="49"/>
        <v>0</v>
      </c>
      <c r="BD66" s="22">
        <f t="shared" si="49"/>
        <v>0</v>
      </c>
      <c r="BE66" s="22">
        <f t="shared" si="49"/>
        <v>0</v>
      </c>
      <c r="BF66" s="22">
        <f t="shared" si="49"/>
        <v>0</v>
      </c>
      <c r="BG66" s="22">
        <f t="shared" si="49"/>
        <v>0</v>
      </c>
      <c r="BH66" s="22">
        <f t="shared" si="49"/>
        <v>0</v>
      </c>
      <c r="BI66" s="22">
        <f t="shared" si="49"/>
        <v>0</v>
      </c>
      <c r="BJ66" s="22">
        <f t="shared" si="49"/>
        <v>0</v>
      </c>
      <c r="BK66" s="22">
        <f t="shared" si="49"/>
        <v>0</v>
      </c>
      <c r="BL66" s="22">
        <f t="shared" si="49"/>
        <v>0</v>
      </c>
      <c r="BM66" s="22">
        <f t="shared" si="49"/>
        <v>0</v>
      </c>
      <c r="BN66" s="22">
        <f t="shared" si="49"/>
        <v>0</v>
      </c>
      <c r="BO66" s="22">
        <f t="shared" si="49"/>
        <v>0</v>
      </c>
      <c r="BP66" s="22">
        <f t="shared" si="49"/>
        <v>0</v>
      </c>
      <c r="BQ66" s="22">
        <f t="shared" si="50"/>
        <v>0</v>
      </c>
      <c r="BR66" s="22">
        <f t="shared" si="50"/>
        <v>0</v>
      </c>
      <c r="BS66" s="22">
        <f t="shared" si="50"/>
        <v>1500000</v>
      </c>
      <c r="BT66" s="23">
        <f t="shared" si="7"/>
        <v>0.52002460869565215</v>
      </c>
      <c r="BU66" s="22">
        <f t="shared" si="51"/>
        <v>5980283</v>
      </c>
      <c r="BV66" s="22"/>
      <c r="BW66" s="22">
        <f>+'[5]AGOSTO 2017'!$H$3088</f>
        <v>5980283</v>
      </c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3">
        <f t="shared" si="52"/>
        <v>0.47997539130434785</v>
      </c>
      <c r="CQ66" s="22">
        <f t="shared" si="53"/>
        <v>5519717</v>
      </c>
      <c r="CR66" s="22">
        <f t="shared" si="57"/>
        <v>0</v>
      </c>
      <c r="CS66" s="22">
        <f t="shared" si="54"/>
        <v>4019717</v>
      </c>
      <c r="CT66" s="22">
        <f t="shared" si="54"/>
        <v>0</v>
      </c>
      <c r="CU66" s="22">
        <f t="shared" si="54"/>
        <v>0</v>
      </c>
      <c r="CV66" s="22">
        <f t="shared" si="54"/>
        <v>0</v>
      </c>
      <c r="CW66" s="22">
        <f t="shared" si="54"/>
        <v>0</v>
      </c>
      <c r="CX66" s="22">
        <f t="shared" si="54"/>
        <v>0</v>
      </c>
      <c r="CY66" s="22">
        <f t="shared" si="54"/>
        <v>0</v>
      </c>
      <c r="CZ66" s="22">
        <f t="shared" si="54"/>
        <v>0</v>
      </c>
      <c r="DA66" s="22">
        <f t="shared" si="54"/>
        <v>0</v>
      </c>
      <c r="DB66" s="22">
        <f t="shared" si="54"/>
        <v>0</v>
      </c>
      <c r="DC66" s="22">
        <f t="shared" si="54"/>
        <v>0</v>
      </c>
      <c r="DD66" s="22">
        <f t="shared" si="54"/>
        <v>0</v>
      </c>
      <c r="DE66" s="22">
        <f t="shared" si="54"/>
        <v>0</v>
      </c>
      <c r="DF66" s="22">
        <f t="shared" si="54"/>
        <v>0</v>
      </c>
      <c r="DG66" s="22">
        <f t="shared" si="54"/>
        <v>0</v>
      </c>
      <c r="DH66" s="22">
        <f t="shared" si="54"/>
        <v>0</v>
      </c>
      <c r="DI66" s="22">
        <f t="shared" si="55"/>
        <v>0</v>
      </c>
      <c r="DJ66" s="22">
        <f t="shared" si="55"/>
        <v>0</v>
      </c>
      <c r="DK66" s="22">
        <f t="shared" si="55"/>
        <v>1500000</v>
      </c>
      <c r="DM66" s="26">
        <f t="shared" si="26"/>
        <v>11500000</v>
      </c>
      <c r="DN66" s="26">
        <f t="shared" si="27"/>
        <v>11500000</v>
      </c>
      <c r="DO66" s="26">
        <f t="shared" si="28"/>
        <v>11500000</v>
      </c>
    </row>
    <row r="67" spans="1:120" ht="69" customHeight="1" x14ac:dyDescent="0.25">
      <c r="A67" s="199"/>
      <c r="B67" s="189"/>
      <c r="C67" s="30" t="s">
        <v>217</v>
      </c>
      <c r="D67" s="19" t="s">
        <v>218</v>
      </c>
      <c r="E67" s="20">
        <v>520</v>
      </c>
      <c r="F67" s="21" t="s">
        <v>219</v>
      </c>
      <c r="G67" s="22">
        <f t="shared" si="47"/>
        <v>522163812</v>
      </c>
      <c r="H67" s="33"/>
      <c r="I67" s="33"/>
      <c r="J67" s="33"/>
      <c r="K67" s="33"/>
      <c r="L67" s="33"/>
      <c r="M67" s="22"/>
      <c r="N67" s="22"/>
      <c r="O67" s="22"/>
      <c r="P67" s="22"/>
      <c r="Q67" s="22"/>
      <c r="R67" s="22"/>
      <c r="S67" s="22"/>
      <c r="T67" s="22"/>
      <c r="U67" s="22"/>
      <c r="V67" s="22">
        <v>20084973</v>
      </c>
      <c r="W67" s="22"/>
      <c r="X67" s="22"/>
      <c r="Y67" s="22"/>
      <c r="Z67" s="22"/>
      <c r="AA67" s="22">
        <f>273000000+1000000+30000000+105550536+90528303+2000000</f>
        <v>502078839</v>
      </c>
      <c r="AB67" s="23">
        <f t="shared" si="1"/>
        <v>0.98084667154222471</v>
      </c>
      <c r="AC67" s="22">
        <f t="shared" si="58"/>
        <v>512162637</v>
      </c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>
        <f>+'[8]ABRIL 2017'!$X$1405</f>
        <v>19235162</v>
      </c>
      <c r="AS67" s="22"/>
      <c r="AT67" s="22"/>
      <c r="AU67" s="22"/>
      <c r="AV67" s="22"/>
      <c r="AW67" s="22">
        <f>+'[3]JUNIO 2017'!$AC$2038</f>
        <v>492927475</v>
      </c>
      <c r="AX67" s="23">
        <f t="shared" si="3"/>
        <v>1.9153328457775287E-2</v>
      </c>
      <c r="AY67" s="22">
        <f t="shared" si="48"/>
        <v>10001175</v>
      </c>
      <c r="AZ67" s="22">
        <f t="shared" si="56"/>
        <v>0</v>
      </c>
      <c r="BA67" s="22">
        <f t="shared" si="49"/>
        <v>0</v>
      </c>
      <c r="BB67" s="22">
        <f t="shared" si="49"/>
        <v>0</v>
      </c>
      <c r="BC67" s="22">
        <f t="shared" si="49"/>
        <v>0</v>
      </c>
      <c r="BD67" s="22">
        <f t="shared" si="49"/>
        <v>0</v>
      </c>
      <c r="BE67" s="22">
        <f t="shared" si="49"/>
        <v>0</v>
      </c>
      <c r="BF67" s="22">
        <f t="shared" si="49"/>
        <v>0</v>
      </c>
      <c r="BG67" s="22">
        <f t="shared" si="49"/>
        <v>0</v>
      </c>
      <c r="BH67" s="22">
        <f t="shared" si="49"/>
        <v>0</v>
      </c>
      <c r="BI67" s="22">
        <f t="shared" si="49"/>
        <v>0</v>
      </c>
      <c r="BJ67" s="22">
        <f t="shared" si="49"/>
        <v>0</v>
      </c>
      <c r="BK67" s="22">
        <f t="shared" si="49"/>
        <v>0</v>
      </c>
      <c r="BL67" s="22">
        <f t="shared" si="49"/>
        <v>0</v>
      </c>
      <c r="BM67" s="22">
        <f t="shared" si="49"/>
        <v>0</v>
      </c>
      <c r="BN67" s="22">
        <f t="shared" si="49"/>
        <v>849811</v>
      </c>
      <c r="BO67" s="22">
        <f t="shared" si="49"/>
        <v>0</v>
      </c>
      <c r="BP67" s="22">
        <f t="shared" si="49"/>
        <v>0</v>
      </c>
      <c r="BQ67" s="22">
        <f t="shared" si="50"/>
        <v>0</v>
      </c>
      <c r="BR67" s="22">
        <f t="shared" si="50"/>
        <v>0</v>
      </c>
      <c r="BS67" s="22">
        <f t="shared" si="50"/>
        <v>9151364</v>
      </c>
      <c r="BT67" s="23">
        <f t="shared" si="7"/>
        <v>0.87691570820691034</v>
      </c>
      <c r="BU67" s="22">
        <f t="shared" si="51"/>
        <v>457893649</v>
      </c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>
        <f>+'[5]AGOSTO 2017'!$H$3131+'[5]AGOSTO 2017'!$H$3132+'[5]AGOSTO 2017'!$H$3140</f>
        <v>19235162</v>
      </c>
      <c r="CK67" s="22"/>
      <c r="CL67" s="22"/>
      <c r="CM67" s="22"/>
      <c r="CN67" s="22"/>
      <c r="CO67" s="22">
        <f>+'[5]AGOSTO 2017'!$H$3096-CJ67</f>
        <v>438658487</v>
      </c>
      <c r="CP67" s="23">
        <f t="shared" si="52"/>
        <v>0.12308429179308966</v>
      </c>
      <c r="CQ67" s="22">
        <f t="shared" si="53"/>
        <v>64270163</v>
      </c>
      <c r="CR67" s="22">
        <f t="shared" si="57"/>
        <v>0</v>
      </c>
      <c r="CS67" s="22">
        <f t="shared" si="54"/>
        <v>0</v>
      </c>
      <c r="CT67" s="22">
        <f t="shared" si="54"/>
        <v>0</v>
      </c>
      <c r="CU67" s="22">
        <f t="shared" si="54"/>
        <v>0</v>
      </c>
      <c r="CV67" s="22">
        <f t="shared" si="54"/>
        <v>0</v>
      </c>
      <c r="CW67" s="22">
        <f t="shared" si="54"/>
        <v>0</v>
      </c>
      <c r="CX67" s="22">
        <f t="shared" si="54"/>
        <v>0</v>
      </c>
      <c r="CY67" s="22">
        <f t="shared" si="54"/>
        <v>0</v>
      </c>
      <c r="CZ67" s="22">
        <f t="shared" si="54"/>
        <v>0</v>
      </c>
      <c r="DA67" s="22">
        <f t="shared" si="54"/>
        <v>0</v>
      </c>
      <c r="DB67" s="22">
        <f t="shared" si="54"/>
        <v>0</v>
      </c>
      <c r="DC67" s="22">
        <f t="shared" si="54"/>
        <v>0</v>
      </c>
      <c r="DD67" s="22">
        <f t="shared" si="54"/>
        <v>0</v>
      </c>
      <c r="DE67" s="22">
        <f t="shared" si="54"/>
        <v>0</v>
      </c>
      <c r="DF67" s="22">
        <f t="shared" si="54"/>
        <v>849811</v>
      </c>
      <c r="DG67" s="22">
        <f t="shared" si="54"/>
        <v>0</v>
      </c>
      <c r="DH67" s="22">
        <f t="shared" si="54"/>
        <v>0</v>
      </c>
      <c r="DI67" s="22">
        <f t="shared" si="55"/>
        <v>0</v>
      </c>
      <c r="DJ67" s="22">
        <f t="shared" si="55"/>
        <v>0</v>
      </c>
      <c r="DK67" s="22">
        <f t="shared" si="55"/>
        <v>63420352</v>
      </c>
      <c r="DM67" s="26">
        <f t="shared" si="26"/>
        <v>522163812</v>
      </c>
      <c r="DN67" s="26">
        <f t="shared" si="27"/>
        <v>522163812</v>
      </c>
      <c r="DO67" s="26">
        <f t="shared" si="28"/>
        <v>522163812</v>
      </c>
    </row>
    <row r="68" spans="1:120" ht="33" customHeight="1" x14ac:dyDescent="0.25">
      <c r="A68" s="198" t="s">
        <v>190</v>
      </c>
      <c r="B68" s="28" t="s">
        <v>220</v>
      </c>
      <c r="C68" s="30" t="s">
        <v>221</v>
      </c>
      <c r="D68" s="19" t="s">
        <v>222</v>
      </c>
      <c r="E68" s="20">
        <v>520</v>
      </c>
      <c r="F68" s="21" t="s">
        <v>107</v>
      </c>
      <c r="G68" s="22">
        <f t="shared" si="47"/>
        <v>30000000</v>
      </c>
      <c r="H68" s="33"/>
      <c r="I68" s="22">
        <v>30000000</v>
      </c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3">
        <f t="shared" si="1"/>
        <v>0.80903099999999994</v>
      </c>
      <c r="AC68" s="22">
        <f t="shared" si="58"/>
        <v>24270930</v>
      </c>
      <c r="AD68" s="22"/>
      <c r="AE68" s="22">
        <f>+'[5]AGOSTO 2017'!$K$3175</f>
        <v>24270930</v>
      </c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3">
        <f t="shared" si="3"/>
        <v>0.19096900000000006</v>
      </c>
      <c r="AY68" s="22">
        <f t="shared" si="48"/>
        <v>5729070</v>
      </c>
      <c r="AZ68" s="22">
        <f t="shared" si="56"/>
        <v>0</v>
      </c>
      <c r="BA68" s="22">
        <f t="shared" si="49"/>
        <v>5729070</v>
      </c>
      <c r="BB68" s="22">
        <f t="shared" si="49"/>
        <v>0</v>
      </c>
      <c r="BC68" s="22">
        <f t="shared" si="49"/>
        <v>0</v>
      </c>
      <c r="BD68" s="22">
        <f t="shared" si="49"/>
        <v>0</v>
      </c>
      <c r="BE68" s="22">
        <f t="shared" si="49"/>
        <v>0</v>
      </c>
      <c r="BF68" s="22">
        <f t="shared" si="49"/>
        <v>0</v>
      </c>
      <c r="BG68" s="22">
        <f t="shared" si="49"/>
        <v>0</v>
      </c>
      <c r="BH68" s="22">
        <f t="shared" si="49"/>
        <v>0</v>
      </c>
      <c r="BI68" s="22">
        <f t="shared" si="49"/>
        <v>0</v>
      </c>
      <c r="BJ68" s="22">
        <f t="shared" si="49"/>
        <v>0</v>
      </c>
      <c r="BK68" s="22">
        <f t="shared" si="49"/>
        <v>0</v>
      </c>
      <c r="BL68" s="22">
        <f t="shared" si="49"/>
        <v>0</v>
      </c>
      <c r="BM68" s="22">
        <f t="shared" si="49"/>
        <v>0</v>
      </c>
      <c r="BN68" s="22">
        <f t="shared" si="49"/>
        <v>0</v>
      </c>
      <c r="BO68" s="22">
        <f t="shared" si="49"/>
        <v>0</v>
      </c>
      <c r="BP68" s="22">
        <f t="shared" si="49"/>
        <v>0</v>
      </c>
      <c r="BQ68" s="22">
        <f t="shared" si="50"/>
        <v>0</v>
      </c>
      <c r="BR68" s="22">
        <f t="shared" si="50"/>
        <v>0</v>
      </c>
      <c r="BS68" s="22">
        <f t="shared" si="50"/>
        <v>0</v>
      </c>
      <c r="BT68" s="23">
        <f t="shared" si="7"/>
        <v>0.438031</v>
      </c>
      <c r="BU68" s="22">
        <f t="shared" si="51"/>
        <v>13140930</v>
      </c>
      <c r="BV68" s="22"/>
      <c r="BW68" s="22">
        <f>+'[5]AGOSTO 2017'!$H$3173</f>
        <v>13140930</v>
      </c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3">
        <f t="shared" si="52"/>
        <v>0.56196899999999994</v>
      </c>
      <c r="CQ68" s="22">
        <f t="shared" si="53"/>
        <v>16859070</v>
      </c>
      <c r="CR68" s="22">
        <f t="shared" si="57"/>
        <v>0</v>
      </c>
      <c r="CS68" s="22">
        <f t="shared" si="54"/>
        <v>16859070</v>
      </c>
      <c r="CT68" s="22">
        <f t="shared" si="54"/>
        <v>0</v>
      </c>
      <c r="CU68" s="22">
        <f t="shared" si="54"/>
        <v>0</v>
      </c>
      <c r="CV68" s="22">
        <f t="shared" si="54"/>
        <v>0</v>
      </c>
      <c r="CW68" s="22">
        <f t="shared" si="54"/>
        <v>0</v>
      </c>
      <c r="CX68" s="22">
        <f t="shared" si="54"/>
        <v>0</v>
      </c>
      <c r="CY68" s="22">
        <f t="shared" si="54"/>
        <v>0</v>
      </c>
      <c r="CZ68" s="22">
        <f t="shared" si="54"/>
        <v>0</v>
      </c>
      <c r="DA68" s="22">
        <f t="shared" si="54"/>
        <v>0</v>
      </c>
      <c r="DB68" s="22">
        <f t="shared" si="54"/>
        <v>0</v>
      </c>
      <c r="DC68" s="22">
        <f t="shared" si="54"/>
        <v>0</v>
      </c>
      <c r="DD68" s="22">
        <f t="shared" si="54"/>
        <v>0</v>
      </c>
      <c r="DE68" s="22">
        <f t="shared" si="54"/>
        <v>0</v>
      </c>
      <c r="DF68" s="22">
        <f t="shared" si="54"/>
        <v>0</v>
      </c>
      <c r="DG68" s="22">
        <f t="shared" si="54"/>
        <v>0</v>
      </c>
      <c r="DH68" s="22">
        <f t="shared" si="54"/>
        <v>0</v>
      </c>
      <c r="DI68" s="22">
        <f t="shared" si="55"/>
        <v>0</v>
      </c>
      <c r="DJ68" s="22">
        <f t="shared" si="55"/>
        <v>0</v>
      </c>
      <c r="DK68" s="22">
        <f t="shared" si="55"/>
        <v>0</v>
      </c>
      <c r="DM68" s="26">
        <f t="shared" si="26"/>
        <v>30000000</v>
      </c>
      <c r="DN68" s="26">
        <f t="shared" si="27"/>
        <v>30000000</v>
      </c>
      <c r="DO68" s="26">
        <f t="shared" si="28"/>
        <v>30000000</v>
      </c>
    </row>
    <row r="69" spans="1:120" ht="45" customHeight="1" x14ac:dyDescent="0.25">
      <c r="A69" s="199"/>
      <c r="B69" s="200" t="s">
        <v>223</v>
      </c>
      <c r="C69" s="30" t="s">
        <v>224</v>
      </c>
      <c r="D69" s="19" t="s">
        <v>225</v>
      </c>
      <c r="E69" s="20">
        <v>520</v>
      </c>
      <c r="F69" s="21" t="s">
        <v>107</v>
      </c>
      <c r="G69" s="22">
        <f t="shared" si="47"/>
        <v>10000000</v>
      </c>
      <c r="H69" s="33"/>
      <c r="I69" s="22">
        <v>10000000</v>
      </c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49"/>
      <c r="U69" s="22"/>
      <c r="V69" s="22"/>
      <c r="W69" s="22"/>
      <c r="X69" s="22"/>
      <c r="Y69" s="22"/>
      <c r="Z69" s="22"/>
      <c r="AA69" s="22"/>
      <c r="AB69" s="23">
        <f t="shared" si="1"/>
        <v>0.99305460000000001</v>
      </c>
      <c r="AC69" s="22">
        <f t="shared" si="58"/>
        <v>9930546</v>
      </c>
      <c r="AD69" s="22"/>
      <c r="AE69" s="22">
        <f>+'[8]ABRIL 2017'!$K$1459</f>
        <v>9930546</v>
      </c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3">
        <f t="shared" si="3"/>
        <v>6.9453999999999905E-3</v>
      </c>
      <c r="AY69" s="22">
        <f t="shared" si="48"/>
        <v>69454</v>
      </c>
      <c r="AZ69" s="22">
        <f t="shared" si="56"/>
        <v>0</v>
      </c>
      <c r="BA69" s="22">
        <f t="shared" si="49"/>
        <v>69454</v>
      </c>
      <c r="BB69" s="22">
        <f t="shared" si="49"/>
        <v>0</v>
      </c>
      <c r="BC69" s="22">
        <f t="shared" si="49"/>
        <v>0</v>
      </c>
      <c r="BD69" s="22">
        <f t="shared" si="49"/>
        <v>0</v>
      </c>
      <c r="BE69" s="22">
        <f t="shared" si="49"/>
        <v>0</v>
      </c>
      <c r="BF69" s="22">
        <f t="shared" si="49"/>
        <v>0</v>
      </c>
      <c r="BG69" s="22">
        <f t="shared" si="49"/>
        <v>0</v>
      </c>
      <c r="BH69" s="22">
        <f t="shared" si="49"/>
        <v>0</v>
      </c>
      <c r="BI69" s="22">
        <f t="shared" si="49"/>
        <v>0</v>
      </c>
      <c r="BJ69" s="22">
        <f t="shared" si="49"/>
        <v>0</v>
      </c>
      <c r="BK69" s="22">
        <f t="shared" si="49"/>
        <v>0</v>
      </c>
      <c r="BL69" s="22">
        <f t="shared" si="49"/>
        <v>0</v>
      </c>
      <c r="BM69" s="22">
        <f t="shared" si="49"/>
        <v>0</v>
      </c>
      <c r="BN69" s="22">
        <f t="shared" si="49"/>
        <v>0</v>
      </c>
      <c r="BO69" s="22">
        <f t="shared" si="49"/>
        <v>0</v>
      </c>
      <c r="BP69" s="22">
        <f t="shared" si="49"/>
        <v>0</v>
      </c>
      <c r="BQ69" s="22">
        <f t="shared" si="50"/>
        <v>0</v>
      </c>
      <c r="BR69" s="22">
        <f t="shared" si="50"/>
        <v>0</v>
      </c>
      <c r="BS69" s="22">
        <f t="shared" si="50"/>
        <v>0</v>
      </c>
      <c r="BT69" s="23">
        <f t="shared" si="7"/>
        <v>0.99305460000000001</v>
      </c>
      <c r="BU69" s="22">
        <f t="shared" si="51"/>
        <v>9930546</v>
      </c>
      <c r="BV69" s="22"/>
      <c r="BW69" s="22">
        <f>+'[8]ABRIL 2017'!$H$1457</f>
        <v>9930546</v>
      </c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3">
        <f t="shared" si="52"/>
        <v>6.9453999999999905E-3</v>
      </c>
      <c r="CQ69" s="22">
        <f t="shared" si="53"/>
        <v>69454</v>
      </c>
      <c r="CR69" s="22">
        <f t="shared" si="57"/>
        <v>0</v>
      </c>
      <c r="CS69" s="22">
        <f t="shared" si="54"/>
        <v>69454</v>
      </c>
      <c r="CT69" s="22">
        <f t="shared" si="54"/>
        <v>0</v>
      </c>
      <c r="CU69" s="22">
        <f t="shared" si="54"/>
        <v>0</v>
      </c>
      <c r="CV69" s="22">
        <f t="shared" si="54"/>
        <v>0</v>
      </c>
      <c r="CW69" s="22">
        <f t="shared" si="54"/>
        <v>0</v>
      </c>
      <c r="CX69" s="22">
        <f t="shared" si="54"/>
        <v>0</v>
      </c>
      <c r="CY69" s="22">
        <f t="shared" si="54"/>
        <v>0</v>
      </c>
      <c r="CZ69" s="22">
        <f t="shared" si="54"/>
        <v>0</v>
      </c>
      <c r="DA69" s="22">
        <f t="shared" si="54"/>
        <v>0</v>
      </c>
      <c r="DB69" s="22">
        <f t="shared" si="54"/>
        <v>0</v>
      </c>
      <c r="DC69" s="22">
        <f t="shared" si="54"/>
        <v>0</v>
      </c>
      <c r="DD69" s="22">
        <f t="shared" si="54"/>
        <v>0</v>
      </c>
      <c r="DE69" s="22">
        <f t="shared" si="54"/>
        <v>0</v>
      </c>
      <c r="DF69" s="22">
        <f t="shared" si="54"/>
        <v>0</v>
      </c>
      <c r="DG69" s="22">
        <f t="shared" si="54"/>
        <v>0</v>
      </c>
      <c r="DH69" s="22">
        <f t="shared" si="54"/>
        <v>0</v>
      </c>
      <c r="DI69" s="22">
        <f t="shared" si="55"/>
        <v>0</v>
      </c>
      <c r="DJ69" s="22">
        <f t="shared" si="55"/>
        <v>0</v>
      </c>
      <c r="DK69" s="22">
        <f t="shared" si="55"/>
        <v>0</v>
      </c>
      <c r="DM69" s="26">
        <f t="shared" si="26"/>
        <v>10000000</v>
      </c>
      <c r="DN69" s="26">
        <f t="shared" si="27"/>
        <v>10000000</v>
      </c>
      <c r="DO69" s="26">
        <f t="shared" si="28"/>
        <v>10000000</v>
      </c>
    </row>
    <row r="70" spans="1:120" ht="34.5" customHeight="1" x14ac:dyDescent="0.25">
      <c r="A70" s="199"/>
      <c r="B70" s="201"/>
      <c r="C70" s="30" t="s">
        <v>226</v>
      </c>
      <c r="D70" s="19" t="s">
        <v>227</v>
      </c>
      <c r="E70" s="20">
        <v>520</v>
      </c>
      <c r="F70" s="21" t="s">
        <v>107</v>
      </c>
      <c r="G70" s="22">
        <f t="shared" si="47"/>
        <v>10000000</v>
      </c>
      <c r="H70" s="33"/>
      <c r="I70" s="22">
        <v>10000000</v>
      </c>
      <c r="J70" s="33"/>
      <c r="K70" s="33"/>
      <c r="L70" s="22"/>
      <c r="M70" s="33"/>
      <c r="N70" s="33"/>
      <c r="O70" s="33"/>
      <c r="P70" s="33"/>
      <c r="Q70" s="33"/>
      <c r="R70" s="25"/>
      <c r="S70" s="33"/>
      <c r="T70" s="49"/>
      <c r="U70" s="33"/>
      <c r="V70" s="33"/>
      <c r="W70" s="33"/>
      <c r="X70" s="33"/>
      <c r="Y70" s="33"/>
      <c r="Z70" s="33"/>
      <c r="AA70" s="65"/>
      <c r="AB70" s="23">
        <f t="shared" si="1"/>
        <v>1</v>
      </c>
      <c r="AC70" s="22">
        <f t="shared" si="58"/>
        <v>10000000</v>
      </c>
      <c r="AD70" s="22"/>
      <c r="AE70" s="22">
        <f>+'[3]JUNIO 2017'!$K$2109</f>
        <v>10000000</v>
      </c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3">
        <f t="shared" si="3"/>
        <v>0</v>
      </c>
      <c r="AY70" s="22">
        <f t="shared" si="48"/>
        <v>0</v>
      </c>
      <c r="AZ70" s="22">
        <f t="shared" si="56"/>
        <v>0</v>
      </c>
      <c r="BA70" s="22">
        <f t="shared" si="49"/>
        <v>0</v>
      </c>
      <c r="BB70" s="22">
        <f t="shared" si="49"/>
        <v>0</v>
      </c>
      <c r="BC70" s="22">
        <f t="shared" si="49"/>
        <v>0</v>
      </c>
      <c r="BD70" s="22">
        <f t="shared" si="49"/>
        <v>0</v>
      </c>
      <c r="BE70" s="22">
        <f t="shared" si="49"/>
        <v>0</v>
      </c>
      <c r="BF70" s="22">
        <f t="shared" si="49"/>
        <v>0</v>
      </c>
      <c r="BG70" s="22">
        <f t="shared" si="49"/>
        <v>0</v>
      </c>
      <c r="BH70" s="22">
        <f t="shared" si="49"/>
        <v>0</v>
      </c>
      <c r="BI70" s="22">
        <f t="shared" si="49"/>
        <v>0</v>
      </c>
      <c r="BJ70" s="22">
        <f t="shared" si="49"/>
        <v>0</v>
      </c>
      <c r="BK70" s="22">
        <f t="shared" si="49"/>
        <v>0</v>
      </c>
      <c r="BL70" s="22">
        <f t="shared" si="49"/>
        <v>0</v>
      </c>
      <c r="BM70" s="22">
        <f t="shared" si="49"/>
        <v>0</v>
      </c>
      <c r="BN70" s="22">
        <f t="shared" si="49"/>
        <v>0</v>
      </c>
      <c r="BO70" s="22">
        <f t="shared" si="49"/>
        <v>0</v>
      </c>
      <c r="BP70" s="22">
        <f t="shared" si="49"/>
        <v>0</v>
      </c>
      <c r="BQ70" s="22">
        <f t="shared" si="50"/>
        <v>0</v>
      </c>
      <c r="BR70" s="22">
        <f t="shared" si="50"/>
        <v>0</v>
      </c>
      <c r="BS70" s="22">
        <f t="shared" si="50"/>
        <v>0</v>
      </c>
      <c r="BT70" s="23">
        <f t="shared" si="7"/>
        <v>1</v>
      </c>
      <c r="BU70" s="22">
        <f t="shared" si="51"/>
        <v>10000000</v>
      </c>
      <c r="BV70" s="22"/>
      <c r="BW70" s="22">
        <f>+'[5]AGOSTO 2017'!$K$3196</f>
        <v>10000000</v>
      </c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3">
        <f t="shared" si="52"/>
        <v>0</v>
      </c>
      <c r="CQ70" s="22">
        <f t="shared" si="53"/>
        <v>0</v>
      </c>
      <c r="CR70" s="22">
        <f t="shared" si="57"/>
        <v>0</v>
      </c>
      <c r="CS70" s="22">
        <f t="shared" si="54"/>
        <v>0</v>
      </c>
      <c r="CT70" s="22">
        <f t="shared" si="54"/>
        <v>0</v>
      </c>
      <c r="CU70" s="22">
        <f t="shared" si="54"/>
        <v>0</v>
      </c>
      <c r="CV70" s="22">
        <f t="shared" si="54"/>
        <v>0</v>
      </c>
      <c r="CW70" s="22">
        <f t="shared" si="54"/>
        <v>0</v>
      </c>
      <c r="CX70" s="22">
        <f t="shared" si="54"/>
        <v>0</v>
      </c>
      <c r="CY70" s="22">
        <f t="shared" si="54"/>
        <v>0</v>
      </c>
      <c r="CZ70" s="22">
        <f t="shared" si="54"/>
        <v>0</v>
      </c>
      <c r="DA70" s="22">
        <f t="shared" si="54"/>
        <v>0</v>
      </c>
      <c r="DB70" s="22">
        <f t="shared" si="54"/>
        <v>0</v>
      </c>
      <c r="DC70" s="22">
        <f t="shared" si="54"/>
        <v>0</v>
      </c>
      <c r="DD70" s="22">
        <f t="shared" si="54"/>
        <v>0</v>
      </c>
      <c r="DE70" s="22">
        <f t="shared" si="54"/>
        <v>0</v>
      </c>
      <c r="DF70" s="22">
        <f t="shared" si="54"/>
        <v>0</v>
      </c>
      <c r="DG70" s="22">
        <f t="shared" si="54"/>
        <v>0</v>
      </c>
      <c r="DH70" s="22">
        <f t="shared" si="54"/>
        <v>0</v>
      </c>
      <c r="DI70" s="22">
        <f t="shared" si="55"/>
        <v>0</v>
      </c>
      <c r="DJ70" s="22">
        <f t="shared" si="55"/>
        <v>0</v>
      </c>
      <c r="DK70" s="22">
        <f t="shared" si="55"/>
        <v>0</v>
      </c>
      <c r="DM70" s="26">
        <f t="shared" si="26"/>
        <v>10000000</v>
      </c>
      <c r="DN70" s="26">
        <f t="shared" si="27"/>
        <v>10000000</v>
      </c>
      <c r="DO70" s="26">
        <f t="shared" si="28"/>
        <v>10000000</v>
      </c>
    </row>
    <row r="71" spans="1:120" ht="34.5" customHeight="1" x14ac:dyDescent="0.25">
      <c r="A71" s="199"/>
      <c r="B71" s="202"/>
      <c r="C71" s="30" t="s">
        <v>228</v>
      </c>
      <c r="D71" s="66" t="s">
        <v>229</v>
      </c>
      <c r="E71" s="20">
        <v>520</v>
      </c>
      <c r="F71" s="67" t="s">
        <v>151</v>
      </c>
      <c r="G71" s="22">
        <f t="shared" si="47"/>
        <v>4826876</v>
      </c>
      <c r="H71" s="33"/>
      <c r="I71" s="22"/>
      <c r="J71" s="33"/>
      <c r="K71" s="50"/>
      <c r="L71" s="49"/>
      <c r="M71" s="33"/>
      <c r="N71" s="33"/>
      <c r="O71" s="33"/>
      <c r="P71" s="33"/>
      <c r="Q71" s="33"/>
      <c r="R71" s="25"/>
      <c r="S71" s="33"/>
      <c r="T71" s="49"/>
      <c r="U71" s="33"/>
      <c r="V71" s="33"/>
      <c r="W71" s="33"/>
      <c r="X71" s="33"/>
      <c r="Y71" s="33"/>
      <c r="Z71" s="33"/>
      <c r="AA71" s="22">
        <v>4826876</v>
      </c>
      <c r="AB71" s="23">
        <f t="shared" si="1"/>
        <v>0</v>
      </c>
      <c r="AC71" s="22">
        <f t="shared" ref="AC71" si="59">SUM(AD71:AW71)</f>
        <v>0</v>
      </c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>
        <f t="shared" si="3"/>
        <v>1</v>
      </c>
      <c r="AY71" s="22">
        <f t="shared" ref="AY71" si="60">SUM(AZ71:BS71)</f>
        <v>4826876</v>
      </c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>
        <f t="shared" si="50"/>
        <v>4826876</v>
      </c>
      <c r="BT71" s="23">
        <f t="shared" si="7"/>
        <v>0</v>
      </c>
      <c r="BU71" s="22">
        <f t="shared" ref="BU71" si="61">SUM(BV71:CO71)</f>
        <v>0</v>
      </c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3">
        <f t="shared" si="52"/>
        <v>1</v>
      </c>
      <c r="CQ71" s="22">
        <f t="shared" ref="CQ71" si="62">SUM(CR71:DK71)</f>
        <v>4826876</v>
      </c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>
        <f t="shared" si="55"/>
        <v>4826876</v>
      </c>
      <c r="DM71" s="26">
        <f t="shared" si="26"/>
        <v>4826876</v>
      </c>
      <c r="DN71" s="26">
        <f t="shared" si="27"/>
        <v>4826876</v>
      </c>
      <c r="DO71" s="26">
        <f t="shared" si="28"/>
        <v>4826876</v>
      </c>
    </row>
    <row r="72" spans="1:120" ht="49.5" customHeight="1" x14ac:dyDescent="0.25">
      <c r="A72" s="199"/>
      <c r="B72" s="68" t="s">
        <v>230</v>
      </c>
      <c r="C72" s="30" t="s">
        <v>231</v>
      </c>
      <c r="D72" s="69" t="s">
        <v>232</v>
      </c>
      <c r="E72" s="20">
        <v>520</v>
      </c>
      <c r="F72" s="67" t="s">
        <v>107</v>
      </c>
      <c r="G72" s="22">
        <f t="shared" si="47"/>
        <v>60000000</v>
      </c>
      <c r="H72" s="33"/>
      <c r="I72" s="22">
        <v>20000000</v>
      </c>
      <c r="J72" s="33"/>
      <c r="K72" s="50"/>
      <c r="L72" s="49"/>
      <c r="M72" s="33"/>
      <c r="N72" s="33"/>
      <c r="O72" s="33"/>
      <c r="P72" s="33"/>
      <c r="Q72" s="33"/>
      <c r="R72" s="25"/>
      <c r="S72" s="33"/>
      <c r="T72" s="49"/>
      <c r="U72" s="22">
        <v>40000000</v>
      </c>
      <c r="V72" s="33"/>
      <c r="W72" s="33"/>
      <c r="X72" s="33"/>
      <c r="Y72" s="33"/>
      <c r="Z72" s="33"/>
      <c r="AA72" s="65"/>
      <c r="AB72" s="23">
        <f t="shared" si="1"/>
        <v>0.99988501666666663</v>
      </c>
      <c r="AC72" s="22">
        <f t="shared" si="58"/>
        <v>59993101</v>
      </c>
      <c r="AD72" s="22"/>
      <c r="AE72" s="22">
        <f>+'[1]ENERO 2017'!$K$823</f>
        <v>19993101</v>
      </c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>
        <f>+'[6]JULIO 2017'!$W$2818</f>
        <v>40000000</v>
      </c>
      <c r="AR72" s="22"/>
      <c r="AS72" s="22"/>
      <c r="AT72" s="22"/>
      <c r="AU72" s="22"/>
      <c r="AV72" s="22"/>
      <c r="AW72" s="22"/>
      <c r="AX72" s="23">
        <f t="shared" si="3"/>
        <v>1.1498333333337385E-4</v>
      </c>
      <c r="AY72" s="22">
        <f t="shared" si="48"/>
        <v>6899</v>
      </c>
      <c r="AZ72" s="22">
        <f t="shared" si="56"/>
        <v>0</v>
      </c>
      <c r="BA72" s="22">
        <f t="shared" si="49"/>
        <v>6899</v>
      </c>
      <c r="BB72" s="22">
        <f t="shared" si="49"/>
        <v>0</v>
      </c>
      <c r="BC72" s="22">
        <f t="shared" si="49"/>
        <v>0</v>
      </c>
      <c r="BD72" s="22">
        <f t="shared" si="49"/>
        <v>0</v>
      </c>
      <c r="BE72" s="22">
        <f t="shared" si="49"/>
        <v>0</v>
      </c>
      <c r="BF72" s="22">
        <f t="shared" si="49"/>
        <v>0</v>
      </c>
      <c r="BG72" s="22">
        <f t="shared" si="49"/>
        <v>0</v>
      </c>
      <c r="BH72" s="22">
        <f t="shared" si="49"/>
        <v>0</v>
      </c>
      <c r="BI72" s="22">
        <f t="shared" si="49"/>
        <v>0</v>
      </c>
      <c r="BJ72" s="22">
        <f t="shared" si="49"/>
        <v>0</v>
      </c>
      <c r="BK72" s="22">
        <f t="shared" si="49"/>
        <v>0</v>
      </c>
      <c r="BL72" s="22">
        <f t="shared" si="49"/>
        <v>0</v>
      </c>
      <c r="BM72" s="22">
        <f t="shared" si="49"/>
        <v>0</v>
      </c>
      <c r="BN72" s="22">
        <f t="shared" si="49"/>
        <v>0</v>
      </c>
      <c r="BO72" s="22">
        <f t="shared" si="49"/>
        <v>0</v>
      </c>
      <c r="BP72" s="22">
        <f t="shared" si="49"/>
        <v>0</v>
      </c>
      <c r="BQ72" s="22">
        <f t="shared" si="50"/>
        <v>0</v>
      </c>
      <c r="BR72" s="22">
        <f t="shared" si="50"/>
        <v>0</v>
      </c>
      <c r="BS72" s="22">
        <f t="shared" si="50"/>
        <v>0</v>
      </c>
      <c r="BT72" s="23">
        <f t="shared" si="7"/>
        <v>0.65571835000000001</v>
      </c>
      <c r="BU72" s="22">
        <f t="shared" si="51"/>
        <v>39343101</v>
      </c>
      <c r="BV72" s="22"/>
      <c r="BW72" s="22">
        <f>+'[7]FEBRERO 2017'!$H$1030</f>
        <v>19993101</v>
      </c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>
        <f>+'[5]AGOSTO 2017'!$H$3209-'[5]AGOSTO 2017'!$H$3212</f>
        <v>19350000</v>
      </c>
      <c r="CJ72" s="22"/>
      <c r="CK72" s="22"/>
      <c r="CL72" s="22"/>
      <c r="CM72" s="22"/>
      <c r="CN72" s="22"/>
      <c r="CO72" s="22"/>
      <c r="CP72" s="23">
        <f t="shared" si="52"/>
        <v>0.34428164999999999</v>
      </c>
      <c r="CQ72" s="22">
        <f t="shared" si="53"/>
        <v>20656899</v>
      </c>
      <c r="CR72" s="22">
        <f t="shared" si="57"/>
        <v>0</v>
      </c>
      <c r="CS72" s="22">
        <f t="shared" si="54"/>
        <v>6899</v>
      </c>
      <c r="CT72" s="22">
        <f t="shared" si="54"/>
        <v>0</v>
      </c>
      <c r="CU72" s="22">
        <f t="shared" si="54"/>
        <v>0</v>
      </c>
      <c r="CV72" s="22">
        <f t="shared" si="54"/>
        <v>0</v>
      </c>
      <c r="CW72" s="22">
        <f t="shared" si="54"/>
        <v>0</v>
      </c>
      <c r="CX72" s="22">
        <f t="shared" si="54"/>
        <v>0</v>
      </c>
      <c r="CY72" s="22">
        <f t="shared" si="54"/>
        <v>0</v>
      </c>
      <c r="CZ72" s="22">
        <f t="shared" si="54"/>
        <v>0</v>
      </c>
      <c r="DA72" s="22">
        <f t="shared" si="54"/>
        <v>0</v>
      </c>
      <c r="DB72" s="22">
        <f t="shared" si="54"/>
        <v>0</v>
      </c>
      <c r="DC72" s="22">
        <f t="shared" si="54"/>
        <v>0</v>
      </c>
      <c r="DD72" s="22">
        <f t="shared" si="54"/>
        <v>0</v>
      </c>
      <c r="DE72" s="22">
        <f t="shared" si="54"/>
        <v>20650000</v>
      </c>
      <c r="DF72" s="22">
        <f t="shared" si="54"/>
        <v>0</v>
      </c>
      <c r="DG72" s="22">
        <f t="shared" si="54"/>
        <v>0</v>
      </c>
      <c r="DH72" s="22">
        <f t="shared" si="54"/>
        <v>0</v>
      </c>
      <c r="DI72" s="22">
        <f t="shared" si="55"/>
        <v>0</v>
      </c>
      <c r="DJ72" s="22">
        <f t="shared" si="55"/>
        <v>0</v>
      </c>
      <c r="DK72" s="22">
        <f t="shared" si="55"/>
        <v>0</v>
      </c>
      <c r="DM72" s="26">
        <f t="shared" si="26"/>
        <v>60000000</v>
      </c>
      <c r="DN72" s="26">
        <f t="shared" si="27"/>
        <v>60000000</v>
      </c>
      <c r="DO72" s="26">
        <f t="shared" si="28"/>
        <v>60000000</v>
      </c>
    </row>
    <row r="73" spans="1:120" s="73" customFormat="1" ht="40.5" customHeight="1" x14ac:dyDescent="0.25">
      <c r="A73" s="199" t="s">
        <v>190</v>
      </c>
      <c r="B73" s="191" t="s">
        <v>233</v>
      </c>
      <c r="C73" s="70" t="s">
        <v>234</v>
      </c>
      <c r="D73" s="19" t="s">
        <v>235</v>
      </c>
      <c r="E73" s="28">
        <v>520</v>
      </c>
      <c r="F73" s="67" t="s">
        <v>107</v>
      </c>
      <c r="G73" s="22">
        <f t="shared" si="47"/>
        <v>5000000</v>
      </c>
      <c r="H73" s="25"/>
      <c r="I73" s="22">
        <v>5000000</v>
      </c>
      <c r="J73" s="25"/>
      <c r="K73" s="25"/>
      <c r="L73" s="71"/>
      <c r="M73" s="25"/>
      <c r="N73" s="25"/>
      <c r="O73" s="25"/>
      <c r="P73" s="25"/>
      <c r="Q73" s="25"/>
      <c r="R73" s="25"/>
      <c r="S73" s="25"/>
      <c r="T73" s="49"/>
      <c r="U73" s="22"/>
      <c r="V73" s="22"/>
      <c r="W73" s="22"/>
      <c r="X73" s="22"/>
      <c r="Y73" s="22"/>
      <c r="Z73" s="22"/>
      <c r="AA73" s="22"/>
      <c r="AB73" s="72">
        <f t="shared" si="1"/>
        <v>1</v>
      </c>
      <c r="AC73" s="22">
        <f t="shared" si="58"/>
        <v>5000000</v>
      </c>
      <c r="AD73" s="71"/>
      <c r="AE73" s="71">
        <f>+'[8]ABRIL 2017'!$K$1487</f>
        <v>5000000</v>
      </c>
      <c r="AF73" s="71"/>
      <c r="AG73" s="71"/>
      <c r="AH73" s="22"/>
      <c r="AI73" s="71"/>
      <c r="AJ73" s="71"/>
      <c r="AK73" s="71"/>
      <c r="AL73" s="71"/>
      <c r="AM73" s="71"/>
      <c r="AN73" s="71"/>
      <c r="AO73" s="71"/>
      <c r="AP73" s="71"/>
      <c r="AQ73" s="71"/>
      <c r="AR73" s="71"/>
      <c r="AS73" s="71"/>
      <c r="AT73" s="71"/>
      <c r="AU73" s="71"/>
      <c r="AV73" s="71"/>
      <c r="AW73" s="71"/>
      <c r="AX73" s="72">
        <f t="shared" si="3"/>
        <v>0</v>
      </c>
      <c r="AY73" s="22">
        <f t="shared" si="48"/>
        <v>0</v>
      </c>
      <c r="AZ73" s="22">
        <f t="shared" si="56"/>
        <v>0</v>
      </c>
      <c r="BA73" s="22">
        <f t="shared" si="49"/>
        <v>0</v>
      </c>
      <c r="BB73" s="22">
        <f t="shared" si="49"/>
        <v>0</v>
      </c>
      <c r="BC73" s="22">
        <f t="shared" si="49"/>
        <v>0</v>
      </c>
      <c r="BD73" s="22">
        <f t="shared" si="49"/>
        <v>0</v>
      </c>
      <c r="BE73" s="22">
        <f t="shared" si="49"/>
        <v>0</v>
      </c>
      <c r="BF73" s="22">
        <f t="shared" si="49"/>
        <v>0</v>
      </c>
      <c r="BG73" s="22">
        <f t="shared" si="49"/>
        <v>0</v>
      </c>
      <c r="BH73" s="22">
        <f t="shared" si="49"/>
        <v>0</v>
      </c>
      <c r="BI73" s="22">
        <f t="shared" si="49"/>
        <v>0</v>
      </c>
      <c r="BJ73" s="22">
        <f t="shared" si="49"/>
        <v>0</v>
      </c>
      <c r="BK73" s="22">
        <f t="shared" si="49"/>
        <v>0</v>
      </c>
      <c r="BL73" s="22">
        <f t="shared" si="49"/>
        <v>0</v>
      </c>
      <c r="BM73" s="22">
        <f t="shared" si="49"/>
        <v>0</v>
      </c>
      <c r="BN73" s="22">
        <f t="shared" si="49"/>
        <v>0</v>
      </c>
      <c r="BO73" s="22">
        <f t="shared" si="49"/>
        <v>0</v>
      </c>
      <c r="BP73" s="22">
        <f t="shared" si="49"/>
        <v>0</v>
      </c>
      <c r="BQ73" s="22">
        <f t="shared" si="50"/>
        <v>0</v>
      </c>
      <c r="BR73" s="22">
        <f t="shared" si="50"/>
        <v>0</v>
      </c>
      <c r="BS73" s="22">
        <f t="shared" si="50"/>
        <v>0</v>
      </c>
      <c r="BT73" s="72">
        <f t="shared" si="7"/>
        <v>0</v>
      </c>
      <c r="BU73" s="22">
        <f t="shared" si="51"/>
        <v>0</v>
      </c>
      <c r="BV73" s="71"/>
      <c r="BW73" s="71"/>
      <c r="BX73" s="71"/>
      <c r="BY73" s="71"/>
      <c r="BZ73" s="71"/>
      <c r="CA73" s="71"/>
      <c r="CB73" s="71"/>
      <c r="CC73" s="71"/>
      <c r="CD73" s="71"/>
      <c r="CE73" s="71"/>
      <c r="CF73" s="71"/>
      <c r="CG73" s="71"/>
      <c r="CH73" s="71"/>
      <c r="CI73" s="71"/>
      <c r="CJ73" s="71"/>
      <c r="CK73" s="71"/>
      <c r="CL73" s="71"/>
      <c r="CM73" s="71"/>
      <c r="CN73" s="71"/>
      <c r="CO73" s="71"/>
      <c r="CP73" s="72">
        <f t="shared" si="52"/>
        <v>1</v>
      </c>
      <c r="CQ73" s="22">
        <f t="shared" si="53"/>
        <v>5000000</v>
      </c>
      <c r="CR73" s="22">
        <f t="shared" si="57"/>
        <v>0</v>
      </c>
      <c r="CS73" s="22">
        <f t="shared" si="54"/>
        <v>5000000</v>
      </c>
      <c r="CT73" s="22">
        <f t="shared" si="54"/>
        <v>0</v>
      </c>
      <c r="CU73" s="22">
        <f t="shared" si="54"/>
        <v>0</v>
      </c>
      <c r="CV73" s="22">
        <f t="shared" si="54"/>
        <v>0</v>
      </c>
      <c r="CW73" s="22">
        <f t="shared" si="54"/>
        <v>0</v>
      </c>
      <c r="CX73" s="22">
        <f t="shared" si="54"/>
        <v>0</v>
      </c>
      <c r="CY73" s="22">
        <f t="shared" si="54"/>
        <v>0</v>
      </c>
      <c r="CZ73" s="22">
        <f t="shared" si="54"/>
        <v>0</v>
      </c>
      <c r="DA73" s="22">
        <f t="shared" si="54"/>
        <v>0</v>
      </c>
      <c r="DB73" s="22">
        <f t="shared" si="54"/>
        <v>0</v>
      </c>
      <c r="DC73" s="22">
        <f t="shared" si="54"/>
        <v>0</v>
      </c>
      <c r="DD73" s="22">
        <f t="shared" si="54"/>
        <v>0</v>
      </c>
      <c r="DE73" s="22">
        <f t="shared" si="54"/>
        <v>0</v>
      </c>
      <c r="DF73" s="22">
        <f t="shared" si="54"/>
        <v>0</v>
      </c>
      <c r="DG73" s="22">
        <f t="shared" si="54"/>
        <v>0</v>
      </c>
      <c r="DH73" s="22">
        <f t="shared" si="54"/>
        <v>0</v>
      </c>
      <c r="DI73" s="22">
        <f t="shared" si="55"/>
        <v>0</v>
      </c>
      <c r="DJ73" s="22">
        <f t="shared" si="55"/>
        <v>0</v>
      </c>
      <c r="DK73" s="22">
        <f t="shared" si="55"/>
        <v>0</v>
      </c>
      <c r="DM73" s="26">
        <f t="shared" si="26"/>
        <v>5000000</v>
      </c>
      <c r="DN73" s="26">
        <f t="shared" si="27"/>
        <v>5000000</v>
      </c>
      <c r="DO73" s="26">
        <f t="shared" si="28"/>
        <v>5000000</v>
      </c>
    </row>
    <row r="74" spans="1:120" s="73" customFormat="1" ht="53.25" customHeight="1" x14ac:dyDescent="0.25">
      <c r="A74" s="199"/>
      <c r="B74" s="190"/>
      <c r="C74" s="70" t="s">
        <v>236</v>
      </c>
      <c r="D74" s="19" t="s">
        <v>237</v>
      </c>
      <c r="E74" s="28">
        <v>520</v>
      </c>
      <c r="F74" s="67" t="s">
        <v>107</v>
      </c>
      <c r="G74" s="22">
        <f t="shared" si="47"/>
        <v>5000000</v>
      </c>
      <c r="H74" s="25"/>
      <c r="I74" s="22">
        <v>5000000</v>
      </c>
      <c r="J74" s="25"/>
      <c r="K74" s="51"/>
      <c r="L74" s="74"/>
      <c r="M74" s="25"/>
      <c r="N74" s="25"/>
      <c r="O74" s="25"/>
      <c r="P74" s="25"/>
      <c r="Q74" s="25"/>
      <c r="R74" s="25"/>
      <c r="S74" s="25"/>
      <c r="T74" s="49"/>
      <c r="U74" s="22"/>
      <c r="V74" s="22"/>
      <c r="W74" s="22"/>
      <c r="X74" s="22"/>
      <c r="Y74" s="22"/>
      <c r="Z74" s="22"/>
      <c r="AA74" s="22"/>
      <c r="AB74" s="72">
        <f t="shared" ref="AB74:AB114" si="63">+AC74/G74</f>
        <v>0</v>
      </c>
      <c r="AC74" s="22">
        <f t="shared" si="58"/>
        <v>0</v>
      </c>
      <c r="AD74" s="71"/>
      <c r="AE74" s="71"/>
      <c r="AF74" s="71"/>
      <c r="AG74" s="71"/>
      <c r="AH74" s="71"/>
      <c r="AI74" s="71"/>
      <c r="AJ74" s="71"/>
      <c r="AK74" s="71"/>
      <c r="AL74" s="71"/>
      <c r="AM74" s="71"/>
      <c r="AN74" s="71"/>
      <c r="AO74" s="71"/>
      <c r="AP74" s="71"/>
      <c r="AQ74" s="71"/>
      <c r="AR74" s="71"/>
      <c r="AS74" s="71"/>
      <c r="AT74" s="71"/>
      <c r="AU74" s="71"/>
      <c r="AV74" s="71"/>
      <c r="AW74" s="71"/>
      <c r="AX74" s="72">
        <f t="shared" ref="AX74:AX114" si="64">1-AB74</f>
        <v>1</v>
      </c>
      <c r="AY74" s="22">
        <f t="shared" si="48"/>
        <v>5000000</v>
      </c>
      <c r="AZ74" s="22">
        <f t="shared" si="56"/>
        <v>0</v>
      </c>
      <c r="BA74" s="22">
        <f t="shared" si="49"/>
        <v>5000000</v>
      </c>
      <c r="BB74" s="22">
        <f t="shared" si="49"/>
        <v>0</v>
      </c>
      <c r="BC74" s="22">
        <f t="shared" si="49"/>
        <v>0</v>
      </c>
      <c r="BD74" s="22">
        <f t="shared" si="49"/>
        <v>0</v>
      </c>
      <c r="BE74" s="22">
        <f t="shared" si="49"/>
        <v>0</v>
      </c>
      <c r="BF74" s="22">
        <f t="shared" si="49"/>
        <v>0</v>
      </c>
      <c r="BG74" s="22">
        <f t="shared" si="49"/>
        <v>0</v>
      </c>
      <c r="BH74" s="22">
        <f t="shared" si="49"/>
        <v>0</v>
      </c>
      <c r="BI74" s="22">
        <f t="shared" si="49"/>
        <v>0</v>
      </c>
      <c r="BJ74" s="22">
        <f t="shared" si="49"/>
        <v>0</v>
      </c>
      <c r="BK74" s="22">
        <f t="shared" si="49"/>
        <v>0</v>
      </c>
      <c r="BL74" s="22">
        <f t="shared" si="49"/>
        <v>0</v>
      </c>
      <c r="BM74" s="22">
        <f t="shared" si="49"/>
        <v>0</v>
      </c>
      <c r="BN74" s="22">
        <f t="shared" si="49"/>
        <v>0</v>
      </c>
      <c r="BO74" s="22">
        <f t="shared" si="49"/>
        <v>0</v>
      </c>
      <c r="BP74" s="22">
        <f t="shared" ref="BP74:BP78" si="65">X74-AT74</f>
        <v>0</v>
      </c>
      <c r="BQ74" s="22">
        <f t="shared" si="50"/>
        <v>0</v>
      </c>
      <c r="BR74" s="22">
        <f t="shared" si="50"/>
        <v>0</v>
      </c>
      <c r="BS74" s="22">
        <f t="shared" si="50"/>
        <v>0</v>
      </c>
      <c r="BT74" s="72">
        <f t="shared" ref="BT74:BT114" si="66">+BU74/G74</f>
        <v>0</v>
      </c>
      <c r="BU74" s="22">
        <f t="shared" si="51"/>
        <v>0</v>
      </c>
      <c r="BV74" s="71"/>
      <c r="BW74" s="71"/>
      <c r="BX74" s="71"/>
      <c r="BY74" s="71"/>
      <c r="BZ74" s="71"/>
      <c r="CA74" s="71"/>
      <c r="CB74" s="71"/>
      <c r="CC74" s="71"/>
      <c r="CD74" s="71"/>
      <c r="CE74" s="71"/>
      <c r="CF74" s="71"/>
      <c r="CG74" s="71"/>
      <c r="CH74" s="71"/>
      <c r="CI74" s="71"/>
      <c r="CJ74" s="71"/>
      <c r="CK74" s="71"/>
      <c r="CL74" s="71"/>
      <c r="CM74" s="71"/>
      <c r="CN74" s="71"/>
      <c r="CO74" s="71"/>
      <c r="CP74" s="72">
        <f t="shared" si="52"/>
        <v>1</v>
      </c>
      <c r="CQ74" s="22">
        <f t="shared" si="53"/>
        <v>5000000</v>
      </c>
      <c r="CR74" s="22">
        <f t="shared" si="57"/>
        <v>0</v>
      </c>
      <c r="CS74" s="22">
        <f t="shared" si="54"/>
        <v>5000000</v>
      </c>
      <c r="CT74" s="22">
        <f t="shared" si="54"/>
        <v>0</v>
      </c>
      <c r="CU74" s="22">
        <f t="shared" si="54"/>
        <v>0</v>
      </c>
      <c r="CV74" s="22">
        <f t="shared" si="54"/>
        <v>0</v>
      </c>
      <c r="CW74" s="22">
        <f t="shared" si="54"/>
        <v>0</v>
      </c>
      <c r="CX74" s="22">
        <f t="shared" si="54"/>
        <v>0</v>
      </c>
      <c r="CY74" s="22">
        <f t="shared" si="54"/>
        <v>0</v>
      </c>
      <c r="CZ74" s="22">
        <f t="shared" si="54"/>
        <v>0</v>
      </c>
      <c r="DA74" s="22">
        <f t="shared" si="54"/>
        <v>0</v>
      </c>
      <c r="DB74" s="22">
        <f t="shared" si="54"/>
        <v>0</v>
      </c>
      <c r="DC74" s="22">
        <f t="shared" si="54"/>
        <v>0</v>
      </c>
      <c r="DD74" s="22">
        <f t="shared" si="54"/>
        <v>0</v>
      </c>
      <c r="DE74" s="22">
        <f t="shared" si="54"/>
        <v>0</v>
      </c>
      <c r="DF74" s="22">
        <f t="shared" si="54"/>
        <v>0</v>
      </c>
      <c r="DG74" s="22">
        <f t="shared" si="54"/>
        <v>0</v>
      </c>
      <c r="DH74" s="22">
        <f t="shared" ref="DH74:DH78" si="67">X74-CL74</f>
        <v>0</v>
      </c>
      <c r="DI74" s="22">
        <f t="shared" si="55"/>
        <v>0</v>
      </c>
      <c r="DJ74" s="22">
        <f t="shared" si="55"/>
        <v>0</v>
      </c>
      <c r="DK74" s="22">
        <f t="shared" si="55"/>
        <v>0</v>
      </c>
      <c r="DM74" s="26">
        <f t="shared" si="26"/>
        <v>5000000</v>
      </c>
      <c r="DN74" s="26">
        <f t="shared" si="27"/>
        <v>5000000</v>
      </c>
      <c r="DO74" s="26">
        <f t="shared" si="28"/>
        <v>5000000</v>
      </c>
    </row>
    <row r="75" spans="1:120" ht="33" customHeight="1" x14ac:dyDescent="0.25">
      <c r="A75" s="199"/>
      <c r="B75" s="191" t="s">
        <v>238</v>
      </c>
      <c r="C75" s="30" t="s">
        <v>239</v>
      </c>
      <c r="D75" s="19" t="s">
        <v>240</v>
      </c>
      <c r="E75" s="20">
        <v>520</v>
      </c>
      <c r="F75" s="67" t="s">
        <v>107</v>
      </c>
      <c r="G75" s="22">
        <f t="shared" si="47"/>
        <v>0</v>
      </c>
      <c r="H75" s="33"/>
      <c r="I75" s="22">
        <f>6000000-6000000</f>
        <v>0</v>
      </c>
      <c r="J75" s="22"/>
      <c r="K75" s="49"/>
      <c r="L75" s="74"/>
      <c r="M75" s="33"/>
      <c r="N75" s="33"/>
      <c r="O75" s="33"/>
      <c r="P75" s="33"/>
      <c r="Q75" s="33"/>
      <c r="R75" s="25"/>
      <c r="S75" s="33"/>
      <c r="T75" s="49"/>
      <c r="U75" s="22"/>
      <c r="V75" s="22"/>
      <c r="W75" s="22"/>
      <c r="X75" s="22"/>
      <c r="Y75" s="22"/>
      <c r="Z75" s="22"/>
      <c r="AA75" s="22"/>
      <c r="AB75" s="23" t="e">
        <f t="shared" si="63"/>
        <v>#DIV/0!</v>
      </c>
      <c r="AC75" s="22">
        <f t="shared" si="58"/>
        <v>0</v>
      </c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3" t="e">
        <f t="shared" si="64"/>
        <v>#DIV/0!</v>
      </c>
      <c r="AY75" s="22">
        <f t="shared" si="48"/>
        <v>0</v>
      </c>
      <c r="AZ75" s="22">
        <f t="shared" si="56"/>
        <v>0</v>
      </c>
      <c r="BA75" s="22">
        <f t="shared" si="56"/>
        <v>0</v>
      </c>
      <c r="BB75" s="22">
        <f t="shared" si="56"/>
        <v>0</v>
      </c>
      <c r="BC75" s="22">
        <f t="shared" si="56"/>
        <v>0</v>
      </c>
      <c r="BD75" s="22">
        <f t="shared" si="56"/>
        <v>0</v>
      </c>
      <c r="BE75" s="22">
        <f t="shared" si="56"/>
        <v>0</v>
      </c>
      <c r="BF75" s="22">
        <f t="shared" si="56"/>
        <v>0</v>
      </c>
      <c r="BG75" s="22">
        <f t="shared" si="56"/>
        <v>0</v>
      </c>
      <c r="BH75" s="22">
        <f t="shared" si="56"/>
        <v>0</v>
      </c>
      <c r="BI75" s="22">
        <f t="shared" si="56"/>
        <v>0</v>
      </c>
      <c r="BJ75" s="22">
        <f t="shared" si="56"/>
        <v>0</v>
      </c>
      <c r="BK75" s="22">
        <f t="shared" si="56"/>
        <v>0</v>
      </c>
      <c r="BL75" s="22">
        <f t="shared" si="56"/>
        <v>0</v>
      </c>
      <c r="BM75" s="22">
        <f t="shared" si="56"/>
        <v>0</v>
      </c>
      <c r="BN75" s="22">
        <f t="shared" si="56"/>
        <v>0</v>
      </c>
      <c r="BO75" s="22">
        <f t="shared" si="56"/>
        <v>0</v>
      </c>
      <c r="BP75" s="22">
        <f t="shared" si="65"/>
        <v>0</v>
      </c>
      <c r="BQ75" s="22">
        <f t="shared" si="50"/>
        <v>0</v>
      </c>
      <c r="BR75" s="22">
        <f t="shared" si="50"/>
        <v>0</v>
      </c>
      <c r="BS75" s="22">
        <f t="shared" si="50"/>
        <v>0</v>
      </c>
      <c r="BT75" s="23" t="e">
        <f t="shared" si="66"/>
        <v>#DIV/0!</v>
      </c>
      <c r="BU75" s="22">
        <f t="shared" si="51"/>
        <v>0</v>
      </c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72" t="e">
        <f t="shared" si="52"/>
        <v>#DIV/0!</v>
      </c>
      <c r="CQ75" s="22">
        <f t="shared" si="53"/>
        <v>0</v>
      </c>
      <c r="CR75" s="22">
        <f t="shared" si="57"/>
        <v>0</v>
      </c>
      <c r="CS75" s="22">
        <f t="shared" si="57"/>
        <v>0</v>
      </c>
      <c r="CT75" s="22">
        <f t="shared" si="57"/>
        <v>0</v>
      </c>
      <c r="CU75" s="22">
        <f t="shared" si="57"/>
        <v>0</v>
      </c>
      <c r="CV75" s="22">
        <f t="shared" si="57"/>
        <v>0</v>
      </c>
      <c r="CW75" s="22">
        <f t="shared" si="57"/>
        <v>0</v>
      </c>
      <c r="CX75" s="22">
        <f t="shared" si="57"/>
        <v>0</v>
      </c>
      <c r="CY75" s="22">
        <f t="shared" si="57"/>
        <v>0</v>
      </c>
      <c r="CZ75" s="22">
        <f t="shared" si="57"/>
        <v>0</v>
      </c>
      <c r="DA75" s="22">
        <f t="shared" si="57"/>
        <v>0</v>
      </c>
      <c r="DB75" s="22">
        <f t="shared" si="57"/>
        <v>0</v>
      </c>
      <c r="DC75" s="22">
        <f t="shared" si="57"/>
        <v>0</v>
      </c>
      <c r="DD75" s="22">
        <f t="shared" si="57"/>
        <v>0</v>
      </c>
      <c r="DE75" s="22">
        <f t="shared" si="57"/>
        <v>0</v>
      </c>
      <c r="DF75" s="22">
        <f t="shared" si="57"/>
        <v>0</v>
      </c>
      <c r="DG75" s="22">
        <f t="shared" si="57"/>
        <v>0</v>
      </c>
      <c r="DH75" s="22">
        <f t="shared" si="67"/>
        <v>0</v>
      </c>
      <c r="DI75" s="22">
        <f t="shared" si="55"/>
        <v>0</v>
      </c>
      <c r="DJ75" s="22">
        <f t="shared" si="55"/>
        <v>0</v>
      </c>
      <c r="DK75" s="22">
        <f t="shared" si="55"/>
        <v>0</v>
      </c>
      <c r="DM75" s="26">
        <f t="shared" si="26"/>
        <v>0</v>
      </c>
      <c r="DN75" s="26">
        <f t="shared" si="27"/>
        <v>0</v>
      </c>
      <c r="DO75" s="26">
        <f t="shared" si="28"/>
        <v>0</v>
      </c>
      <c r="DP75" s="35"/>
    </row>
    <row r="76" spans="1:120" ht="45" x14ac:dyDescent="0.25">
      <c r="A76" s="199"/>
      <c r="B76" s="189"/>
      <c r="C76" s="30" t="s">
        <v>241</v>
      </c>
      <c r="D76" s="19" t="s">
        <v>242</v>
      </c>
      <c r="E76" s="20">
        <v>520</v>
      </c>
      <c r="F76" s="67" t="s">
        <v>107</v>
      </c>
      <c r="G76" s="22">
        <f t="shared" si="47"/>
        <v>200000</v>
      </c>
      <c r="H76" s="33"/>
      <c r="I76" s="22">
        <f>6000000-5800000</f>
        <v>200000</v>
      </c>
      <c r="J76" s="22"/>
      <c r="K76" s="49"/>
      <c r="L76" s="74"/>
      <c r="M76" s="33"/>
      <c r="N76" s="33"/>
      <c r="O76" s="33"/>
      <c r="P76" s="33"/>
      <c r="Q76" s="33"/>
      <c r="R76" s="25"/>
      <c r="S76" s="33"/>
      <c r="T76" s="49"/>
      <c r="U76" s="22"/>
      <c r="V76" s="22"/>
      <c r="W76" s="22"/>
      <c r="X76" s="22"/>
      <c r="Y76" s="22"/>
      <c r="Z76" s="22"/>
      <c r="AA76" s="22"/>
      <c r="AB76" s="23">
        <f t="shared" si="63"/>
        <v>1</v>
      </c>
      <c r="AC76" s="22">
        <f t="shared" si="58"/>
        <v>200000</v>
      </c>
      <c r="AD76" s="22"/>
      <c r="AE76" s="22">
        <f>+'[3]JUNIO 2017'!$K$2152</f>
        <v>200000</v>
      </c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3">
        <f t="shared" si="64"/>
        <v>0</v>
      </c>
      <c r="AY76" s="22">
        <f t="shared" si="48"/>
        <v>0</v>
      </c>
      <c r="AZ76" s="22">
        <f t="shared" si="56"/>
        <v>0</v>
      </c>
      <c r="BA76" s="22">
        <f t="shared" si="56"/>
        <v>0</v>
      </c>
      <c r="BB76" s="22">
        <f t="shared" si="56"/>
        <v>0</v>
      </c>
      <c r="BC76" s="22">
        <f t="shared" si="56"/>
        <v>0</v>
      </c>
      <c r="BD76" s="22">
        <f t="shared" si="56"/>
        <v>0</v>
      </c>
      <c r="BE76" s="22">
        <f t="shared" si="56"/>
        <v>0</v>
      </c>
      <c r="BF76" s="22">
        <f t="shared" si="56"/>
        <v>0</v>
      </c>
      <c r="BG76" s="22">
        <f t="shared" si="56"/>
        <v>0</v>
      </c>
      <c r="BH76" s="22">
        <f t="shared" si="56"/>
        <v>0</v>
      </c>
      <c r="BI76" s="22">
        <f t="shared" si="56"/>
        <v>0</v>
      </c>
      <c r="BJ76" s="22">
        <f t="shared" si="56"/>
        <v>0</v>
      </c>
      <c r="BK76" s="22">
        <f t="shared" si="56"/>
        <v>0</v>
      </c>
      <c r="BL76" s="22">
        <f t="shared" si="56"/>
        <v>0</v>
      </c>
      <c r="BM76" s="22">
        <f t="shared" si="56"/>
        <v>0</v>
      </c>
      <c r="BN76" s="22">
        <f t="shared" si="56"/>
        <v>0</v>
      </c>
      <c r="BO76" s="22">
        <f t="shared" si="56"/>
        <v>0</v>
      </c>
      <c r="BP76" s="22">
        <f t="shared" si="65"/>
        <v>0</v>
      </c>
      <c r="BQ76" s="22">
        <f t="shared" si="50"/>
        <v>0</v>
      </c>
      <c r="BR76" s="22">
        <f t="shared" si="50"/>
        <v>0</v>
      </c>
      <c r="BS76" s="22">
        <f t="shared" si="50"/>
        <v>0</v>
      </c>
      <c r="BT76" s="23">
        <f t="shared" si="66"/>
        <v>1</v>
      </c>
      <c r="BU76" s="22">
        <f t="shared" si="51"/>
        <v>200000</v>
      </c>
      <c r="BV76" s="22"/>
      <c r="BW76" s="22">
        <f>+'[3]JUNIO 2017'!$H$2150</f>
        <v>200000</v>
      </c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72">
        <f t="shared" si="52"/>
        <v>0</v>
      </c>
      <c r="CQ76" s="22">
        <f t="shared" si="53"/>
        <v>0</v>
      </c>
      <c r="CR76" s="22">
        <f t="shared" si="57"/>
        <v>0</v>
      </c>
      <c r="CS76" s="22">
        <f t="shared" si="57"/>
        <v>0</v>
      </c>
      <c r="CT76" s="22">
        <f t="shared" si="57"/>
        <v>0</v>
      </c>
      <c r="CU76" s="22">
        <f t="shared" si="57"/>
        <v>0</v>
      </c>
      <c r="CV76" s="22">
        <f t="shared" si="57"/>
        <v>0</v>
      </c>
      <c r="CW76" s="22">
        <f t="shared" si="57"/>
        <v>0</v>
      </c>
      <c r="CX76" s="22">
        <f t="shared" si="57"/>
        <v>0</v>
      </c>
      <c r="CY76" s="22">
        <f t="shared" si="57"/>
        <v>0</v>
      </c>
      <c r="CZ76" s="22">
        <f t="shared" si="57"/>
        <v>0</v>
      </c>
      <c r="DA76" s="22">
        <f t="shared" si="57"/>
        <v>0</v>
      </c>
      <c r="DB76" s="22">
        <f t="shared" si="57"/>
        <v>0</v>
      </c>
      <c r="DC76" s="22">
        <f t="shared" si="57"/>
        <v>0</v>
      </c>
      <c r="DD76" s="22">
        <f t="shared" si="57"/>
        <v>0</v>
      </c>
      <c r="DE76" s="22">
        <f t="shared" si="57"/>
        <v>0</v>
      </c>
      <c r="DF76" s="22">
        <f t="shared" si="57"/>
        <v>0</v>
      </c>
      <c r="DG76" s="22">
        <f t="shared" si="57"/>
        <v>0</v>
      </c>
      <c r="DH76" s="22">
        <f t="shared" si="67"/>
        <v>0</v>
      </c>
      <c r="DI76" s="22">
        <f t="shared" si="55"/>
        <v>0</v>
      </c>
      <c r="DJ76" s="22">
        <f t="shared" si="55"/>
        <v>0</v>
      </c>
      <c r="DK76" s="22">
        <f t="shared" si="55"/>
        <v>0</v>
      </c>
      <c r="DM76" s="26">
        <f t="shared" si="26"/>
        <v>200000</v>
      </c>
      <c r="DN76" s="26">
        <f t="shared" si="27"/>
        <v>200000</v>
      </c>
      <c r="DO76" s="26">
        <f t="shared" si="28"/>
        <v>200000</v>
      </c>
    </row>
    <row r="77" spans="1:120" ht="33" customHeight="1" x14ac:dyDescent="0.25">
      <c r="A77" s="199"/>
      <c r="B77" s="189"/>
      <c r="C77" s="30" t="s">
        <v>243</v>
      </c>
      <c r="D77" s="19" t="s">
        <v>244</v>
      </c>
      <c r="E77" s="20">
        <v>520</v>
      </c>
      <c r="F77" s="67" t="s">
        <v>204</v>
      </c>
      <c r="G77" s="22">
        <f t="shared" si="47"/>
        <v>286800000</v>
      </c>
      <c r="H77" s="33"/>
      <c r="I77" s="22">
        <f>200000000+6000000+5800000</f>
        <v>211800000</v>
      </c>
      <c r="J77" s="33"/>
      <c r="K77" s="50"/>
      <c r="L77" s="74"/>
      <c r="M77" s="33"/>
      <c r="N77" s="33"/>
      <c r="O77" s="33"/>
      <c r="P77" s="33"/>
      <c r="Q77" s="33"/>
      <c r="R77" s="25"/>
      <c r="S77" s="33"/>
      <c r="T77" s="74"/>
      <c r="U77" s="22">
        <v>60000000</v>
      </c>
      <c r="V77" s="22">
        <v>12000000</v>
      </c>
      <c r="W77" s="22"/>
      <c r="X77" s="22"/>
      <c r="Y77" s="22"/>
      <c r="Z77" s="22"/>
      <c r="AA77" s="22">
        <f>3000000</f>
        <v>3000000</v>
      </c>
      <c r="AB77" s="23">
        <f t="shared" si="63"/>
        <v>0.95109407252440725</v>
      </c>
      <c r="AC77" s="22">
        <f t="shared" si="58"/>
        <v>272773780</v>
      </c>
      <c r="AD77" s="22"/>
      <c r="AE77" s="22">
        <f>+'[5]AGOSTO 2017'!$K$3249</f>
        <v>199651372</v>
      </c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>
        <f>+'[6]JULIO 2017'!$W$2854</f>
        <v>60000000</v>
      </c>
      <c r="AR77" s="22">
        <f>+'[3]JUNIO 2017'!$X$2159</f>
        <v>12000000</v>
      </c>
      <c r="AS77" s="22"/>
      <c r="AT77" s="22"/>
      <c r="AU77" s="22"/>
      <c r="AV77" s="22"/>
      <c r="AW77" s="22">
        <f>+'[5]AGOSTO 2017'!$AC$3249</f>
        <v>1122408</v>
      </c>
      <c r="AX77" s="23">
        <f t="shared" si="64"/>
        <v>4.8905927475592748E-2</v>
      </c>
      <c r="AY77" s="22">
        <f t="shared" si="48"/>
        <v>14026220</v>
      </c>
      <c r="AZ77" s="22">
        <f t="shared" si="56"/>
        <v>0</v>
      </c>
      <c r="BA77" s="22">
        <f t="shared" si="56"/>
        <v>12148628</v>
      </c>
      <c r="BB77" s="22">
        <f t="shared" si="56"/>
        <v>0</v>
      </c>
      <c r="BC77" s="22">
        <f t="shared" si="56"/>
        <v>0</v>
      </c>
      <c r="BD77" s="22">
        <f t="shared" si="56"/>
        <v>0</v>
      </c>
      <c r="BE77" s="22">
        <f t="shared" si="56"/>
        <v>0</v>
      </c>
      <c r="BF77" s="22">
        <f t="shared" si="56"/>
        <v>0</v>
      </c>
      <c r="BG77" s="22">
        <f t="shared" si="56"/>
        <v>0</v>
      </c>
      <c r="BH77" s="22">
        <f t="shared" si="56"/>
        <v>0</v>
      </c>
      <c r="BI77" s="22">
        <f t="shared" si="56"/>
        <v>0</v>
      </c>
      <c r="BJ77" s="22">
        <f t="shared" si="56"/>
        <v>0</v>
      </c>
      <c r="BK77" s="22">
        <f t="shared" si="56"/>
        <v>0</v>
      </c>
      <c r="BL77" s="22">
        <f t="shared" si="56"/>
        <v>0</v>
      </c>
      <c r="BM77" s="22">
        <f t="shared" si="56"/>
        <v>0</v>
      </c>
      <c r="BN77" s="22">
        <f t="shared" si="56"/>
        <v>0</v>
      </c>
      <c r="BO77" s="22">
        <f t="shared" si="56"/>
        <v>0</v>
      </c>
      <c r="BP77" s="22">
        <f t="shared" si="65"/>
        <v>0</v>
      </c>
      <c r="BQ77" s="22">
        <f t="shared" si="50"/>
        <v>0</v>
      </c>
      <c r="BR77" s="22">
        <f t="shared" si="50"/>
        <v>0</v>
      </c>
      <c r="BS77" s="22">
        <f t="shared" si="50"/>
        <v>1877592</v>
      </c>
      <c r="BT77" s="23">
        <f t="shared" si="66"/>
        <v>0.83723710599721057</v>
      </c>
      <c r="BU77" s="22">
        <f t="shared" si="51"/>
        <v>240119602</v>
      </c>
      <c r="BV77" s="22"/>
      <c r="BW77" s="22">
        <f>+'[5]AGOSTO 2017'!$H$3250+'[5]AGOSTO 2017'!$H$3256+'[5]AGOSTO 2017'!$H$3258+'[5]AGOSTO 2017'!$H$3260+'[5]AGOSTO 2017'!$H$3262+'[5]AGOSTO 2017'!$H$3264+'[5]AGOSTO 2017'!$H$3266+'[5]AGOSTO 2017'!$H$3268+'[5]AGOSTO 2017'!$H$3270+'[5]AGOSTO 2017'!$H$3273+'[5]AGOSTO 2017'!$H$3280+'[5]AGOSTO 2017'!$H$3281+'[5]AGOSTO 2017'!$H$3285+'[5]AGOSTO 2017'!$H$3286+'[5]AGOSTO 2017'!$H$3289+'[5]AGOSTO 2017'!$H$3291+'[5]AGOSTO 2017'!$H$3299</f>
        <v>197706434</v>
      </c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>
        <f>+'[5]AGOSTO 2017'!$H$3300</f>
        <v>41290760</v>
      </c>
      <c r="CJ77" s="22"/>
      <c r="CK77" s="22"/>
      <c r="CL77" s="22"/>
      <c r="CM77" s="22"/>
      <c r="CN77" s="22"/>
      <c r="CO77" s="22">
        <f>+'[5]AGOSTO 2017'!$H$3306</f>
        <v>1122408</v>
      </c>
      <c r="CP77" s="72">
        <f t="shared" si="52"/>
        <v>0.16276289400278943</v>
      </c>
      <c r="CQ77" s="22">
        <f t="shared" si="53"/>
        <v>46680398</v>
      </c>
      <c r="CR77" s="22">
        <f t="shared" si="57"/>
        <v>0</v>
      </c>
      <c r="CS77" s="22">
        <f t="shared" si="57"/>
        <v>14093566</v>
      </c>
      <c r="CT77" s="22">
        <f t="shared" si="57"/>
        <v>0</v>
      </c>
      <c r="CU77" s="22">
        <f t="shared" si="57"/>
        <v>0</v>
      </c>
      <c r="CV77" s="22">
        <f t="shared" si="57"/>
        <v>0</v>
      </c>
      <c r="CW77" s="22">
        <f t="shared" si="57"/>
        <v>0</v>
      </c>
      <c r="CX77" s="22">
        <f t="shared" si="57"/>
        <v>0</v>
      </c>
      <c r="CY77" s="22">
        <f t="shared" si="57"/>
        <v>0</v>
      </c>
      <c r="CZ77" s="22">
        <f t="shared" si="57"/>
        <v>0</v>
      </c>
      <c r="DA77" s="22">
        <f t="shared" si="57"/>
        <v>0</v>
      </c>
      <c r="DB77" s="22">
        <f t="shared" si="57"/>
        <v>0</v>
      </c>
      <c r="DC77" s="22">
        <f t="shared" si="57"/>
        <v>0</v>
      </c>
      <c r="DD77" s="22">
        <f t="shared" si="57"/>
        <v>0</v>
      </c>
      <c r="DE77" s="22">
        <f t="shared" si="57"/>
        <v>18709240</v>
      </c>
      <c r="DF77" s="22">
        <f t="shared" si="57"/>
        <v>12000000</v>
      </c>
      <c r="DG77" s="22">
        <f t="shared" si="57"/>
        <v>0</v>
      </c>
      <c r="DH77" s="22">
        <f t="shared" si="67"/>
        <v>0</v>
      </c>
      <c r="DI77" s="22">
        <f t="shared" si="55"/>
        <v>0</v>
      </c>
      <c r="DJ77" s="22">
        <f t="shared" si="55"/>
        <v>0</v>
      </c>
      <c r="DK77" s="22">
        <f t="shared" si="55"/>
        <v>1877592</v>
      </c>
      <c r="DM77" s="26">
        <f t="shared" si="26"/>
        <v>286800000</v>
      </c>
      <c r="DN77" s="26">
        <f t="shared" si="27"/>
        <v>286800000</v>
      </c>
      <c r="DO77" s="26">
        <f t="shared" si="28"/>
        <v>286800000</v>
      </c>
    </row>
    <row r="78" spans="1:120" ht="48" x14ac:dyDescent="0.25">
      <c r="A78" s="199"/>
      <c r="B78" s="189"/>
      <c r="C78" s="75" t="s">
        <v>245</v>
      </c>
      <c r="D78" s="19" t="s">
        <v>246</v>
      </c>
      <c r="E78" s="20">
        <v>520</v>
      </c>
      <c r="F78" s="67" t="s">
        <v>247</v>
      </c>
      <c r="G78" s="22">
        <f t="shared" si="47"/>
        <v>65967589</v>
      </c>
      <c r="H78" s="76"/>
      <c r="I78" s="22"/>
      <c r="J78" s="76"/>
      <c r="K78" s="77"/>
      <c r="L78" s="74"/>
      <c r="M78" s="76"/>
      <c r="N78" s="76"/>
      <c r="O78" s="76"/>
      <c r="P78" s="76"/>
      <c r="Q78" s="76"/>
      <c r="R78" s="78"/>
      <c r="S78" s="76"/>
      <c r="T78" s="74"/>
      <c r="U78" s="40"/>
      <c r="V78" s="40"/>
      <c r="W78" s="40"/>
      <c r="X78" s="40"/>
      <c r="Y78" s="40"/>
      <c r="Z78" s="40"/>
      <c r="AA78" s="40">
        <f>22029791+11937798+30000000+2000000</f>
        <v>65967589</v>
      </c>
      <c r="AB78" s="23">
        <f t="shared" si="63"/>
        <v>0.70270743106891476</v>
      </c>
      <c r="AC78" s="22">
        <f t="shared" si="58"/>
        <v>46355915</v>
      </c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>
        <f>+'[5]AGOSTO 2017'!$AC$3311</f>
        <v>46355915</v>
      </c>
      <c r="AX78" s="23">
        <f t="shared" si="64"/>
        <v>0.29729256893108524</v>
      </c>
      <c r="AY78" s="22">
        <f t="shared" si="48"/>
        <v>19611674</v>
      </c>
      <c r="AZ78" s="22">
        <f t="shared" si="56"/>
        <v>0</v>
      </c>
      <c r="BA78" s="22">
        <f t="shared" si="56"/>
        <v>0</v>
      </c>
      <c r="BB78" s="22">
        <f t="shared" si="56"/>
        <v>0</v>
      </c>
      <c r="BC78" s="22">
        <f t="shared" si="56"/>
        <v>0</v>
      </c>
      <c r="BD78" s="22">
        <f t="shared" si="56"/>
        <v>0</v>
      </c>
      <c r="BE78" s="22">
        <f t="shared" si="56"/>
        <v>0</v>
      </c>
      <c r="BF78" s="22">
        <f t="shared" si="56"/>
        <v>0</v>
      </c>
      <c r="BG78" s="22">
        <f t="shared" si="56"/>
        <v>0</v>
      </c>
      <c r="BH78" s="22">
        <f t="shared" si="56"/>
        <v>0</v>
      </c>
      <c r="BI78" s="22">
        <f t="shared" si="56"/>
        <v>0</v>
      </c>
      <c r="BJ78" s="22">
        <f t="shared" si="56"/>
        <v>0</v>
      </c>
      <c r="BK78" s="22">
        <f t="shared" si="56"/>
        <v>0</v>
      </c>
      <c r="BL78" s="22">
        <f t="shared" si="56"/>
        <v>0</v>
      </c>
      <c r="BM78" s="22">
        <f t="shared" si="56"/>
        <v>0</v>
      </c>
      <c r="BN78" s="22">
        <f t="shared" si="56"/>
        <v>0</v>
      </c>
      <c r="BO78" s="22">
        <f t="shared" si="56"/>
        <v>0</v>
      </c>
      <c r="BP78" s="22">
        <f t="shared" si="65"/>
        <v>0</v>
      </c>
      <c r="BQ78" s="22">
        <f t="shared" si="50"/>
        <v>0</v>
      </c>
      <c r="BR78" s="22">
        <f t="shared" si="50"/>
        <v>0</v>
      </c>
      <c r="BS78" s="22">
        <f t="shared" si="50"/>
        <v>19611674</v>
      </c>
      <c r="BT78" s="23">
        <f t="shared" si="66"/>
        <v>0.18933785801994371</v>
      </c>
      <c r="BU78" s="22">
        <f t="shared" si="51"/>
        <v>12490162</v>
      </c>
      <c r="BV78" s="40"/>
      <c r="BW78" s="40"/>
      <c r="BX78" s="40"/>
      <c r="BY78" s="40"/>
      <c r="BZ78" s="40"/>
      <c r="CA78" s="40"/>
      <c r="CB78" s="40"/>
      <c r="CC78" s="40"/>
      <c r="CD78" s="40"/>
      <c r="CE78" s="40"/>
      <c r="CF78" s="40"/>
      <c r="CG78" s="40"/>
      <c r="CH78" s="40"/>
      <c r="CI78" s="40"/>
      <c r="CJ78" s="40"/>
      <c r="CK78" s="40"/>
      <c r="CL78" s="40"/>
      <c r="CM78" s="40"/>
      <c r="CN78" s="40"/>
      <c r="CO78" s="40">
        <f>+'[5]AGOSTO 2017'!$H$3309</f>
        <v>12490162</v>
      </c>
      <c r="CP78" s="72">
        <f t="shared" si="52"/>
        <v>0.81066214198005626</v>
      </c>
      <c r="CQ78" s="22">
        <f t="shared" si="53"/>
        <v>53477427</v>
      </c>
      <c r="CR78" s="22">
        <f t="shared" si="57"/>
        <v>0</v>
      </c>
      <c r="CS78" s="22">
        <f t="shared" si="57"/>
        <v>0</v>
      </c>
      <c r="CT78" s="22">
        <f t="shared" si="57"/>
        <v>0</v>
      </c>
      <c r="CU78" s="22">
        <f t="shared" si="57"/>
        <v>0</v>
      </c>
      <c r="CV78" s="22">
        <f t="shared" si="57"/>
        <v>0</v>
      </c>
      <c r="CW78" s="22">
        <f t="shared" si="57"/>
        <v>0</v>
      </c>
      <c r="CX78" s="22">
        <f t="shared" si="57"/>
        <v>0</v>
      </c>
      <c r="CY78" s="22">
        <f t="shared" si="57"/>
        <v>0</v>
      </c>
      <c r="CZ78" s="22">
        <f t="shared" si="57"/>
        <v>0</v>
      </c>
      <c r="DA78" s="22">
        <f t="shared" si="57"/>
        <v>0</v>
      </c>
      <c r="DB78" s="22">
        <f t="shared" si="57"/>
        <v>0</v>
      </c>
      <c r="DC78" s="22">
        <f t="shared" si="57"/>
        <v>0</v>
      </c>
      <c r="DD78" s="22">
        <f t="shared" si="57"/>
        <v>0</v>
      </c>
      <c r="DE78" s="22">
        <f t="shared" si="57"/>
        <v>0</v>
      </c>
      <c r="DF78" s="22">
        <f t="shared" si="57"/>
        <v>0</v>
      </c>
      <c r="DG78" s="22">
        <f t="shared" si="57"/>
        <v>0</v>
      </c>
      <c r="DH78" s="22">
        <f t="shared" si="67"/>
        <v>0</v>
      </c>
      <c r="DI78" s="22">
        <f t="shared" si="55"/>
        <v>0</v>
      </c>
      <c r="DJ78" s="22">
        <f t="shared" si="55"/>
        <v>0</v>
      </c>
      <c r="DK78" s="22">
        <f t="shared" si="55"/>
        <v>53477427</v>
      </c>
      <c r="DM78" s="26">
        <f t="shared" si="26"/>
        <v>65967589</v>
      </c>
      <c r="DN78" s="26">
        <f t="shared" si="27"/>
        <v>65967589</v>
      </c>
      <c r="DO78" s="26">
        <f t="shared" si="28"/>
        <v>65967589</v>
      </c>
    </row>
    <row r="79" spans="1:120" s="47" customFormat="1" ht="20.25" customHeight="1" thickBot="1" x14ac:dyDescent="0.3">
      <c r="A79" s="79"/>
      <c r="B79" s="193" t="s">
        <v>248</v>
      </c>
      <c r="C79" s="194"/>
      <c r="D79" s="194"/>
      <c r="E79" s="194"/>
      <c r="F79" s="195"/>
      <c r="G79" s="62">
        <f>SUM(G58:G78)</f>
        <v>2532390317</v>
      </c>
      <c r="H79" s="62">
        <f>SUM(H58:H78)</f>
        <v>0</v>
      </c>
      <c r="I79" s="62">
        <f>SUM(I58:I78)</f>
        <v>422000000</v>
      </c>
      <c r="J79" s="62">
        <f>SUM(J58:J77)</f>
        <v>0</v>
      </c>
      <c r="K79" s="62">
        <f>SUM(K58:K77)</f>
        <v>0</v>
      </c>
      <c r="L79" s="62">
        <f>SUM(L58:L78)</f>
        <v>0</v>
      </c>
      <c r="M79" s="62">
        <f>SUM(M58:M78)</f>
        <v>0</v>
      </c>
      <c r="N79" s="62">
        <f>SUM(N58:N78)</f>
        <v>0</v>
      </c>
      <c r="O79" s="62">
        <f t="shared" ref="O79:AA79" si="68">SUM(O58:O78)</f>
        <v>0</v>
      </c>
      <c r="P79" s="62">
        <f t="shared" si="68"/>
        <v>0</v>
      </c>
      <c r="Q79" s="62">
        <f t="shared" si="68"/>
        <v>0</v>
      </c>
      <c r="R79" s="62">
        <f t="shared" si="68"/>
        <v>0</v>
      </c>
      <c r="S79" s="62">
        <f t="shared" si="68"/>
        <v>1018432040</v>
      </c>
      <c r="T79" s="62">
        <f t="shared" si="68"/>
        <v>0</v>
      </c>
      <c r="U79" s="62">
        <f t="shared" si="68"/>
        <v>100000000</v>
      </c>
      <c r="V79" s="62">
        <f t="shared" si="68"/>
        <v>272084973</v>
      </c>
      <c r="W79" s="62">
        <f t="shared" si="68"/>
        <v>0</v>
      </c>
      <c r="X79" s="62">
        <f t="shared" si="68"/>
        <v>0</v>
      </c>
      <c r="Y79" s="62">
        <f t="shared" si="68"/>
        <v>0</v>
      </c>
      <c r="Z79" s="62">
        <f t="shared" si="68"/>
        <v>0</v>
      </c>
      <c r="AA79" s="62">
        <f t="shared" si="68"/>
        <v>719873304</v>
      </c>
      <c r="AB79" s="44">
        <f t="shared" si="63"/>
        <v>0.84900847612899788</v>
      </c>
      <c r="AC79" s="62">
        <f>SUM(AC58:AC78)</f>
        <v>2150020844</v>
      </c>
      <c r="AD79" s="62">
        <f t="shared" ref="AD79:AW79" si="69">SUM(AD58:AD78)</f>
        <v>0</v>
      </c>
      <c r="AE79" s="62">
        <f t="shared" si="69"/>
        <v>399043533</v>
      </c>
      <c r="AF79" s="62">
        <f t="shared" si="69"/>
        <v>0</v>
      </c>
      <c r="AG79" s="62">
        <f t="shared" si="69"/>
        <v>0</v>
      </c>
      <c r="AH79" s="62">
        <f t="shared" si="69"/>
        <v>0</v>
      </c>
      <c r="AI79" s="62">
        <f t="shared" si="69"/>
        <v>0</v>
      </c>
      <c r="AJ79" s="62">
        <f t="shared" si="69"/>
        <v>0</v>
      </c>
      <c r="AK79" s="62">
        <f t="shared" si="69"/>
        <v>0</v>
      </c>
      <c r="AL79" s="62">
        <f t="shared" si="69"/>
        <v>0</v>
      </c>
      <c r="AM79" s="62">
        <f t="shared" si="69"/>
        <v>0</v>
      </c>
      <c r="AN79" s="62">
        <f t="shared" si="69"/>
        <v>0</v>
      </c>
      <c r="AO79" s="62">
        <f t="shared" si="69"/>
        <v>780745920</v>
      </c>
      <c r="AP79" s="62">
        <f t="shared" si="69"/>
        <v>0</v>
      </c>
      <c r="AQ79" s="62">
        <f t="shared" si="69"/>
        <v>100000000</v>
      </c>
      <c r="AR79" s="62">
        <f t="shared" si="69"/>
        <v>239883201</v>
      </c>
      <c r="AS79" s="62">
        <f t="shared" si="69"/>
        <v>0</v>
      </c>
      <c r="AT79" s="62">
        <f t="shared" si="69"/>
        <v>0</v>
      </c>
      <c r="AU79" s="62">
        <f t="shared" si="69"/>
        <v>0</v>
      </c>
      <c r="AV79" s="62">
        <f t="shared" si="69"/>
        <v>0</v>
      </c>
      <c r="AW79" s="62">
        <f t="shared" si="69"/>
        <v>630348190</v>
      </c>
      <c r="AX79" s="44">
        <f t="shared" si="64"/>
        <v>0.15099152387100212</v>
      </c>
      <c r="AY79" s="62">
        <f t="shared" ref="AY79:BS79" si="70">SUM(AY58:AY78)</f>
        <v>382369473</v>
      </c>
      <c r="AZ79" s="62">
        <f t="shared" si="70"/>
        <v>0</v>
      </c>
      <c r="BA79" s="62">
        <f t="shared" si="70"/>
        <v>22956467</v>
      </c>
      <c r="BB79" s="62">
        <f t="shared" si="70"/>
        <v>0</v>
      </c>
      <c r="BC79" s="62">
        <f t="shared" si="70"/>
        <v>0</v>
      </c>
      <c r="BD79" s="62">
        <f t="shared" si="70"/>
        <v>0</v>
      </c>
      <c r="BE79" s="62">
        <f t="shared" si="70"/>
        <v>0</v>
      </c>
      <c r="BF79" s="62">
        <f t="shared" si="70"/>
        <v>0</v>
      </c>
      <c r="BG79" s="62">
        <f t="shared" si="70"/>
        <v>0</v>
      </c>
      <c r="BH79" s="62">
        <f t="shared" si="70"/>
        <v>0</v>
      </c>
      <c r="BI79" s="62">
        <f t="shared" si="70"/>
        <v>0</v>
      </c>
      <c r="BJ79" s="62">
        <f t="shared" si="70"/>
        <v>0</v>
      </c>
      <c r="BK79" s="62">
        <f t="shared" si="70"/>
        <v>237686120</v>
      </c>
      <c r="BL79" s="62">
        <f t="shared" si="70"/>
        <v>0</v>
      </c>
      <c r="BM79" s="62">
        <f t="shared" si="70"/>
        <v>0</v>
      </c>
      <c r="BN79" s="62">
        <f t="shared" si="70"/>
        <v>32201772</v>
      </c>
      <c r="BO79" s="62">
        <f t="shared" si="70"/>
        <v>0</v>
      </c>
      <c r="BP79" s="62">
        <f t="shared" si="70"/>
        <v>0</v>
      </c>
      <c r="BQ79" s="62">
        <f t="shared" si="70"/>
        <v>0</v>
      </c>
      <c r="BR79" s="62">
        <f t="shared" si="70"/>
        <v>0</v>
      </c>
      <c r="BS79" s="62">
        <f t="shared" si="70"/>
        <v>89525114</v>
      </c>
      <c r="BT79" s="44">
        <f t="shared" si="66"/>
        <v>0.74558850044757929</v>
      </c>
      <c r="BU79" s="62">
        <f t="shared" ref="BU79:CK79" si="71">SUM(BU58:BU78)</f>
        <v>1888121099</v>
      </c>
      <c r="BV79" s="62">
        <f t="shared" si="71"/>
        <v>0</v>
      </c>
      <c r="BW79" s="62">
        <f t="shared" si="71"/>
        <v>376948878</v>
      </c>
      <c r="BX79" s="62">
        <f t="shared" si="71"/>
        <v>0</v>
      </c>
      <c r="BY79" s="62">
        <f t="shared" si="71"/>
        <v>0</v>
      </c>
      <c r="BZ79" s="62">
        <f t="shared" si="71"/>
        <v>0</v>
      </c>
      <c r="CA79" s="62">
        <f t="shared" si="71"/>
        <v>0</v>
      </c>
      <c r="CB79" s="62">
        <f t="shared" si="71"/>
        <v>0</v>
      </c>
      <c r="CC79" s="62">
        <f t="shared" si="71"/>
        <v>0</v>
      </c>
      <c r="CD79" s="62">
        <f t="shared" si="71"/>
        <v>0</v>
      </c>
      <c r="CE79" s="62">
        <f t="shared" si="71"/>
        <v>0</v>
      </c>
      <c r="CF79" s="62">
        <f t="shared" si="71"/>
        <v>0</v>
      </c>
      <c r="CG79" s="62">
        <f t="shared" si="71"/>
        <v>776599252</v>
      </c>
      <c r="CH79" s="62">
        <f t="shared" si="71"/>
        <v>0</v>
      </c>
      <c r="CI79" s="62">
        <f t="shared" si="71"/>
        <v>60640760</v>
      </c>
      <c r="CJ79" s="62">
        <f t="shared" si="71"/>
        <v>140473723</v>
      </c>
      <c r="CK79" s="62">
        <f t="shared" si="71"/>
        <v>0</v>
      </c>
      <c r="CL79" s="62"/>
      <c r="CM79" s="62">
        <f>SUM(CM58:CM78)</f>
        <v>0</v>
      </c>
      <c r="CN79" s="62">
        <f>SUM(CN58:CN78)</f>
        <v>0</v>
      </c>
      <c r="CO79" s="62">
        <f>SUM(CO58:CO78)</f>
        <v>533458486</v>
      </c>
      <c r="CP79" s="44">
        <f t="shared" si="52"/>
        <v>0.25441149955242071</v>
      </c>
      <c r="CQ79" s="62">
        <f t="shared" ref="CQ79:DK79" si="72">SUM(CQ58:CQ78)</f>
        <v>644269218</v>
      </c>
      <c r="CR79" s="62">
        <f t="shared" si="72"/>
        <v>0</v>
      </c>
      <c r="CS79" s="62">
        <f t="shared" si="72"/>
        <v>45051122</v>
      </c>
      <c r="CT79" s="62">
        <f t="shared" si="72"/>
        <v>0</v>
      </c>
      <c r="CU79" s="62">
        <f t="shared" si="72"/>
        <v>0</v>
      </c>
      <c r="CV79" s="62">
        <f t="shared" si="72"/>
        <v>0</v>
      </c>
      <c r="CW79" s="62">
        <f t="shared" si="72"/>
        <v>0</v>
      </c>
      <c r="CX79" s="62">
        <f t="shared" si="72"/>
        <v>0</v>
      </c>
      <c r="CY79" s="62">
        <f t="shared" si="72"/>
        <v>0</v>
      </c>
      <c r="CZ79" s="62">
        <f t="shared" si="72"/>
        <v>0</v>
      </c>
      <c r="DA79" s="62">
        <f t="shared" si="72"/>
        <v>0</v>
      </c>
      <c r="DB79" s="62">
        <f t="shared" si="72"/>
        <v>0</v>
      </c>
      <c r="DC79" s="62">
        <f t="shared" si="72"/>
        <v>241832788</v>
      </c>
      <c r="DD79" s="62">
        <f t="shared" si="72"/>
        <v>0</v>
      </c>
      <c r="DE79" s="62">
        <f t="shared" si="72"/>
        <v>39359240</v>
      </c>
      <c r="DF79" s="62">
        <f t="shared" si="72"/>
        <v>131611250</v>
      </c>
      <c r="DG79" s="62">
        <f t="shared" si="72"/>
        <v>0</v>
      </c>
      <c r="DH79" s="62">
        <f t="shared" si="72"/>
        <v>0</v>
      </c>
      <c r="DI79" s="62">
        <f t="shared" si="72"/>
        <v>0</v>
      </c>
      <c r="DJ79" s="62">
        <f t="shared" si="72"/>
        <v>0</v>
      </c>
      <c r="DK79" s="62">
        <f t="shared" si="72"/>
        <v>186414818</v>
      </c>
      <c r="DM79" s="26">
        <f t="shared" si="26"/>
        <v>2532390317</v>
      </c>
      <c r="DN79" s="26">
        <f t="shared" si="27"/>
        <v>2532390317</v>
      </c>
      <c r="DO79" s="26">
        <f t="shared" si="28"/>
        <v>2532390317</v>
      </c>
    </row>
    <row r="80" spans="1:120" s="47" customFormat="1" ht="15.75" thickTop="1" x14ac:dyDescent="0.25">
      <c r="A80" s="203" t="s">
        <v>249</v>
      </c>
      <c r="B80" s="191" t="s">
        <v>250</v>
      </c>
      <c r="C80" s="53" t="s">
        <v>251</v>
      </c>
      <c r="D80" s="19" t="s">
        <v>252</v>
      </c>
      <c r="E80" s="20">
        <v>301</v>
      </c>
      <c r="F80" s="21" t="s">
        <v>253</v>
      </c>
      <c r="G80" s="22">
        <f t="shared" ref="G80:G93" si="73">SUM(H80:AA80)</f>
        <v>74030286</v>
      </c>
      <c r="H80" s="22">
        <f>95000000-20969714</f>
        <v>74030286</v>
      </c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3">
        <f t="shared" si="63"/>
        <v>1</v>
      </c>
      <c r="AC80" s="22">
        <f t="shared" ref="AC80:AC93" si="74">SUM(AD80:AW80)</f>
        <v>74030286</v>
      </c>
      <c r="AD80" s="22">
        <f>+'[6]JULIO 2017'!$J$515</f>
        <v>74030286</v>
      </c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3">
        <f t="shared" si="64"/>
        <v>0</v>
      </c>
      <c r="AY80" s="22">
        <f t="shared" ref="AY80:AY93" si="75">SUM(AZ80:BS80)</f>
        <v>0</v>
      </c>
      <c r="AZ80" s="22">
        <f t="shared" ref="AZ80:BO93" si="76">H80-AD80</f>
        <v>0</v>
      </c>
      <c r="BA80" s="22">
        <f t="shared" si="76"/>
        <v>0</v>
      </c>
      <c r="BB80" s="22">
        <f t="shared" si="76"/>
        <v>0</v>
      </c>
      <c r="BC80" s="22">
        <f t="shared" si="76"/>
        <v>0</v>
      </c>
      <c r="BD80" s="22">
        <f t="shared" si="76"/>
        <v>0</v>
      </c>
      <c r="BE80" s="22">
        <f t="shared" si="76"/>
        <v>0</v>
      </c>
      <c r="BF80" s="22">
        <f t="shared" si="76"/>
        <v>0</v>
      </c>
      <c r="BG80" s="22">
        <f t="shared" si="76"/>
        <v>0</v>
      </c>
      <c r="BH80" s="22">
        <f t="shared" si="76"/>
        <v>0</v>
      </c>
      <c r="BI80" s="22">
        <f t="shared" si="76"/>
        <v>0</v>
      </c>
      <c r="BJ80" s="22">
        <f t="shared" si="76"/>
        <v>0</v>
      </c>
      <c r="BK80" s="22">
        <f t="shared" si="76"/>
        <v>0</v>
      </c>
      <c r="BL80" s="22">
        <f t="shared" si="76"/>
        <v>0</v>
      </c>
      <c r="BM80" s="22">
        <f t="shared" si="76"/>
        <v>0</v>
      </c>
      <c r="BN80" s="22">
        <f t="shared" si="76"/>
        <v>0</v>
      </c>
      <c r="BO80" s="22">
        <f t="shared" si="76"/>
        <v>0</v>
      </c>
      <c r="BP80" s="22">
        <f t="shared" ref="BO80:BS93" si="77">X80-AT80</f>
        <v>0</v>
      </c>
      <c r="BQ80" s="22">
        <f t="shared" si="77"/>
        <v>0</v>
      </c>
      <c r="BR80" s="22">
        <f t="shared" si="77"/>
        <v>0</v>
      </c>
      <c r="BS80" s="22">
        <f t="shared" si="77"/>
        <v>0</v>
      </c>
      <c r="BT80" s="23">
        <f t="shared" si="66"/>
        <v>0.78230196219963277</v>
      </c>
      <c r="BU80" s="22">
        <f t="shared" ref="BU80:BU93" si="78">SUM(BV80:CO80)</f>
        <v>57914038</v>
      </c>
      <c r="BV80" s="22">
        <f>+'[5]AGOSTO 2017'!$H$628</f>
        <v>57914038</v>
      </c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3">
        <f t="shared" si="52"/>
        <v>0.21769803780036723</v>
      </c>
      <c r="CQ80" s="22">
        <f t="shared" ref="CQ80:CQ93" si="79">SUM(CR80:DK80)</f>
        <v>16116248</v>
      </c>
      <c r="CR80" s="22">
        <f>H80-BV80</f>
        <v>16116248</v>
      </c>
      <c r="CS80" s="22"/>
      <c r="CT80" s="22">
        <f t="shared" ref="CT80:DI93" si="80">J80-BX80</f>
        <v>0</v>
      </c>
      <c r="CU80" s="22">
        <f t="shared" si="80"/>
        <v>0</v>
      </c>
      <c r="CV80" s="22">
        <f t="shared" si="80"/>
        <v>0</v>
      </c>
      <c r="CW80" s="22">
        <f t="shared" si="80"/>
        <v>0</v>
      </c>
      <c r="CX80" s="22">
        <f t="shared" si="80"/>
        <v>0</v>
      </c>
      <c r="CY80" s="22">
        <f t="shared" si="80"/>
        <v>0</v>
      </c>
      <c r="CZ80" s="22">
        <f t="shared" si="80"/>
        <v>0</v>
      </c>
      <c r="DA80" s="22">
        <f t="shared" si="80"/>
        <v>0</v>
      </c>
      <c r="DB80" s="22">
        <f t="shared" si="80"/>
        <v>0</v>
      </c>
      <c r="DC80" s="22">
        <f t="shared" si="80"/>
        <v>0</v>
      </c>
      <c r="DD80" s="22">
        <f t="shared" si="80"/>
        <v>0</v>
      </c>
      <c r="DE80" s="22">
        <f t="shared" si="80"/>
        <v>0</v>
      </c>
      <c r="DF80" s="22">
        <f t="shared" si="80"/>
        <v>0</v>
      </c>
      <c r="DG80" s="22">
        <f t="shared" si="80"/>
        <v>0</v>
      </c>
      <c r="DH80" s="22">
        <f t="shared" si="80"/>
        <v>0</v>
      </c>
      <c r="DI80" s="22">
        <f t="shared" si="80"/>
        <v>0</v>
      </c>
      <c r="DJ80" s="22">
        <f t="shared" ref="DI80:DK93" si="81">Z80-CN80</f>
        <v>0</v>
      </c>
      <c r="DK80" s="22">
        <f t="shared" si="81"/>
        <v>0</v>
      </c>
      <c r="DM80" s="26">
        <f t="shared" si="26"/>
        <v>74030286</v>
      </c>
      <c r="DN80" s="26">
        <f t="shared" si="27"/>
        <v>74030286</v>
      </c>
      <c r="DO80" s="26">
        <f t="shared" si="28"/>
        <v>74030286</v>
      </c>
    </row>
    <row r="81" spans="1:119" s="47" customFormat="1" ht="33" customHeight="1" x14ac:dyDescent="0.25">
      <c r="A81" s="203"/>
      <c r="B81" s="189"/>
      <c r="C81" s="53" t="s">
        <v>254</v>
      </c>
      <c r="D81" s="19" t="s">
        <v>255</v>
      </c>
      <c r="E81" s="20">
        <v>301</v>
      </c>
      <c r="F81" s="21" t="s">
        <v>253</v>
      </c>
      <c r="G81" s="22">
        <f t="shared" si="73"/>
        <v>63674133</v>
      </c>
      <c r="H81" s="22">
        <f>70000000-6325867</f>
        <v>63674133</v>
      </c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3">
        <f t="shared" si="63"/>
        <v>1</v>
      </c>
      <c r="AC81" s="22">
        <f t="shared" si="74"/>
        <v>63674133</v>
      </c>
      <c r="AD81" s="22">
        <f>+'[6]JULIO 2017'!$J$527</f>
        <v>63674133</v>
      </c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3">
        <f t="shared" si="64"/>
        <v>0</v>
      </c>
      <c r="AY81" s="22">
        <f t="shared" si="75"/>
        <v>0</v>
      </c>
      <c r="AZ81" s="22">
        <f t="shared" si="76"/>
        <v>0</v>
      </c>
      <c r="BA81" s="22">
        <f t="shared" si="76"/>
        <v>0</v>
      </c>
      <c r="BB81" s="22">
        <f t="shared" si="76"/>
        <v>0</v>
      </c>
      <c r="BC81" s="22">
        <f t="shared" si="76"/>
        <v>0</v>
      </c>
      <c r="BD81" s="22">
        <f t="shared" si="76"/>
        <v>0</v>
      </c>
      <c r="BE81" s="22">
        <f t="shared" si="76"/>
        <v>0</v>
      </c>
      <c r="BF81" s="22">
        <f t="shared" si="76"/>
        <v>0</v>
      </c>
      <c r="BG81" s="22">
        <f t="shared" si="76"/>
        <v>0</v>
      </c>
      <c r="BH81" s="22">
        <f t="shared" si="76"/>
        <v>0</v>
      </c>
      <c r="BI81" s="22">
        <f t="shared" si="76"/>
        <v>0</v>
      </c>
      <c r="BJ81" s="22">
        <f t="shared" si="76"/>
        <v>0</v>
      </c>
      <c r="BK81" s="22">
        <f t="shared" si="76"/>
        <v>0</v>
      </c>
      <c r="BL81" s="22">
        <f t="shared" si="76"/>
        <v>0</v>
      </c>
      <c r="BM81" s="22">
        <f t="shared" si="76"/>
        <v>0</v>
      </c>
      <c r="BN81" s="22">
        <f t="shared" si="76"/>
        <v>0</v>
      </c>
      <c r="BO81" s="22">
        <f t="shared" si="76"/>
        <v>0</v>
      </c>
      <c r="BP81" s="22">
        <f t="shared" si="77"/>
        <v>0</v>
      </c>
      <c r="BQ81" s="22">
        <f t="shared" si="77"/>
        <v>0</v>
      </c>
      <c r="BR81" s="22">
        <f t="shared" si="77"/>
        <v>0</v>
      </c>
      <c r="BS81" s="22">
        <f t="shared" si="77"/>
        <v>0</v>
      </c>
      <c r="BT81" s="23">
        <f t="shared" si="66"/>
        <v>0.98840521314989871</v>
      </c>
      <c r="BU81" s="22">
        <f t="shared" si="78"/>
        <v>62935845</v>
      </c>
      <c r="BV81" s="22">
        <f>+'[5]AGOSTO 2017'!$H$644</f>
        <v>62935845</v>
      </c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3">
        <f t="shared" si="52"/>
        <v>1.1594786850101291E-2</v>
      </c>
      <c r="CQ81" s="22">
        <f t="shared" si="79"/>
        <v>738288</v>
      </c>
      <c r="CR81" s="22">
        <f t="shared" ref="CR81:DG93" si="82">H81-BV81</f>
        <v>738288</v>
      </c>
      <c r="CS81" s="22">
        <f t="shared" si="82"/>
        <v>0</v>
      </c>
      <c r="CT81" s="22">
        <f t="shared" si="82"/>
        <v>0</v>
      </c>
      <c r="CU81" s="22">
        <f t="shared" si="82"/>
        <v>0</v>
      </c>
      <c r="CV81" s="22">
        <f t="shared" si="82"/>
        <v>0</v>
      </c>
      <c r="CW81" s="22">
        <f t="shared" si="82"/>
        <v>0</v>
      </c>
      <c r="CX81" s="22">
        <f t="shared" si="82"/>
        <v>0</v>
      </c>
      <c r="CY81" s="22">
        <f t="shared" si="82"/>
        <v>0</v>
      </c>
      <c r="CZ81" s="22">
        <f t="shared" si="82"/>
        <v>0</v>
      </c>
      <c r="DA81" s="22">
        <f t="shared" si="82"/>
        <v>0</v>
      </c>
      <c r="DB81" s="22">
        <f t="shared" si="82"/>
        <v>0</v>
      </c>
      <c r="DC81" s="22">
        <f t="shared" si="82"/>
        <v>0</v>
      </c>
      <c r="DD81" s="22">
        <f t="shared" si="82"/>
        <v>0</v>
      </c>
      <c r="DE81" s="22">
        <f t="shared" si="82"/>
        <v>0</v>
      </c>
      <c r="DF81" s="22">
        <f t="shared" si="82"/>
        <v>0</v>
      </c>
      <c r="DG81" s="22">
        <f t="shared" si="82"/>
        <v>0</v>
      </c>
      <c r="DH81" s="22">
        <f t="shared" si="80"/>
        <v>0</v>
      </c>
      <c r="DI81" s="22">
        <f t="shared" si="81"/>
        <v>0</v>
      </c>
      <c r="DJ81" s="22">
        <f t="shared" si="81"/>
        <v>0</v>
      </c>
      <c r="DK81" s="22">
        <f t="shared" si="81"/>
        <v>0</v>
      </c>
      <c r="DM81" s="26">
        <f t="shared" si="26"/>
        <v>63674133</v>
      </c>
      <c r="DN81" s="26">
        <f t="shared" si="27"/>
        <v>63674133</v>
      </c>
      <c r="DO81" s="26">
        <f t="shared" si="28"/>
        <v>63674133</v>
      </c>
    </row>
    <row r="82" spans="1:119" s="47" customFormat="1" ht="29.25" customHeight="1" x14ac:dyDescent="0.25">
      <c r="A82" s="203"/>
      <c r="B82" s="189"/>
      <c r="C82" s="53" t="s">
        <v>256</v>
      </c>
      <c r="D82" s="19" t="s">
        <v>257</v>
      </c>
      <c r="E82" s="20">
        <v>301</v>
      </c>
      <c r="F82" s="21" t="s">
        <v>253</v>
      </c>
      <c r="G82" s="22">
        <f t="shared" si="73"/>
        <v>72295581</v>
      </c>
      <c r="H82" s="22">
        <f>15000000+20969714+6325867</f>
        <v>42295581</v>
      </c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>
        <v>30000000</v>
      </c>
      <c r="X82" s="22"/>
      <c r="Y82" s="22"/>
      <c r="Z82" s="22"/>
      <c r="AA82" s="22"/>
      <c r="AB82" s="23">
        <f t="shared" si="63"/>
        <v>0.99995635971166763</v>
      </c>
      <c r="AC82" s="22">
        <f t="shared" si="74"/>
        <v>72292426</v>
      </c>
      <c r="AD82" s="22">
        <f>+'[6]JULIO 2017'!$J$537</f>
        <v>42292426</v>
      </c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>
        <f>+'[1]ENERO 2017'!$Q$163</f>
        <v>30000000</v>
      </c>
      <c r="AT82" s="22"/>
      <c r="AU82" s="22"/>
      <c r="AV82" s="22"/>
      <c r="AW82" s="22"/>
      <c r="AX82" s="23">
        <f t="shared" si="64"/>
        <v>4.3640288332369437E-5</v>
      </c>
      <c r="AY82" s="22">
        <f t="shared" si="75"/>
        <v>3155</v>
      </c>
      <c r="AZ82" s="22">
        <f t="shared" si="76"/>
        <v>3155</v>
      </c>
      <c r="BA82" s="22">
        <f t="shared" si="76"/>
        <v>0</v>
      </c>
      <c r="BB82" s="22">
        <f t="shared" si="76"/>
        <v>0</v>
      </c>
      <c r="BC82" s="22">
        <f t="shared" si="76"/>
        <v>0</v>
      </c>
      <c r="BD82" s="22">
        <f t="shared" si="76"/>
        <v>0</v>
      </c>
      <c r="BE82" s="22">
        <f t="shared" si="76"/>
        <v>0</v>
      </c>
      <c r="BF82" s="22">
        <f t="shared" si="76"/>
        <v>0</v>
      </c>
      <c r="BG82" s="22">
        <f t="shared" si="76"/>
        <v>0</v>
      </c>
      <c r="BH82" s="22">
        <f t="shared" si="76"/>
        <v>0</v>
      </c>
      <c r="BI82" s="22">
        <f t="shared" si="76"/>
        <v>0</v>
      </c>
      <c r="BJ82" s="22">
        <f t="shared" si="76"/>
        <v>0</v>
      </c>
      <c r="BK82" s="22">
        <f t="shared" si="76"/>
        <v>0</v>
      </c>
      <c r="BL82" s="22">
        <f t="shared" si="76"/>
        <v>0</v>
      </c>
      <c r="BM82" s="22">
        <f t="shared" si="76"/>
        <v>0</v>
      </c>
      <c r="BN82" s="22">
        <f t="shared" si="76"/>
        <v>0</v>
      </c>
      <c r="BO82" s="22">
        <f t="shared" si="76"/>
        <v>0</v>
      </c>
      <c r="BP82" s="22">
        <f t="shared" si="77"/>
        <v>0</v>
      </c>
      <c r="BQ82" s="22">
        <f t="shared" si="77"/>
        <v>0</v>
      </c>
      <c r="BR82" s="22">
        <f t="shared" si="77"/>
        <v>0</v>
      </c>
      <c r="BS82" s="22">
        <f t="shared" si="77"/>
        <v>0</v>
      </c>
      <c r="BT82" s="23">
        <f t="shared" si="66"/>
        <v>0.99689010037833437</v>
      </c>
      <c r="BU82" s="22">
        <f t="shared" si="78"/>
        <v>72070749</v>
      </c>
      <c r="BV82" s="22">
        <f>+'[5]AGOSTO 2017'!$H$660+'[5]AGOSTO 2017'!$H$667</f>
        <v>42070749</v>
      </c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>
        <f>+'[6]JULIO 2017'!$H$541</f>
        <v>30000000</v>
      </c>
      <c r="CL82" s="22"/>
      <c r="CM82" s="22"/>
      <c r="CN82" s="22"/>
      <c r="CO82" s="22"/>
      <c r="CP82" s="23">
        <f t="shared" si="52"/>
        <v>3.1098996216656349E-3</v>
      </c>
      <c r="CQ82" s="22">
        <f t="shared" si="79"/>
        <v>224832</v>
      </c>
      <c r="CR82" s="22">
        <f t="shared" si="82"/>
        <v>224832</v>
      </c>
      <c r="CS82" s="22">
        <f t="shared" si="82"/>
        <v>0</v>
      </c>
      <c r="CT82" s="22">
        <f t="shared" si="82"/>
        <v>0</v>
      </c>
      <c r="CU82" s="22">
        <f t="shared" si="82"/>
        <v>0</v>
      </c>
      <c r="CV82" s="22">
        <f t="shared" si="82"/>
        <v>0</v>
      </c>
      <c r="CW82" s="22">
        <f t="shared" si="82"/>
        <v>0</v>
      </c>
      <c r="CX82" s="22">
        <f t="shared" si="82"/>
        <v>0</v>
      </c>
      <c r="CY82" s="22">
        <f t="shared" si="82"/>
        <v>0</v>
      </c>
      <c r="CZ82" s="22">
        <f t="shared" si="82"/>
        <v>0</v>
      </c>
      <c r="DA82" s="22">
        <f t="shared" si="82"/>
        <v>0</v>
      </c>
      <c r="DB82" s="22">
        <f t="shared" si="82"/>
        <v>0</v>
      </c>
      <c r="DC82" s="22">
        <f t="shared" si="82"/>
        <v>0</v>
      </c>
      <c r="DD82" s="22">
        <f t="shared" si="82"/>
        <v>0</v>
      </c>
      <c r="DE82" s="22">
        <f t="shared" si="82"/>
        <v>0</v>
      </c>
      <c r="DF82" s="22">
        <f t="shared" si="82"/>
        <v>0</v>
      </c>
      <c r="DG82" s="22">
        <f t="shared" si="82"/>
        <v>0</v>
      </c>
      <c r="DH82" s="22">
        <f t="shared" si="80"/>
        <v>0</v>
      </c>
      <c r="DI82" s="22">
        <f t="shared" si="81"/>
        <v>0</v>
      </c>
      <c r="DJ82" s="22">
        <f t="shared" si="81"/>
        <v>0</v>
      </c>
      <c r="DK82" s="22">
        <f t="shared" si="81"/>
        <v>0</v>
      </c>
      <c r="DM82" s="26">
        <f t="shared" si="26"/>
        <v>72295581</v>
      </c>
      <c r="DN82" s="26">
        <f t="shared" si="27"/>
        <v>72295581</v>
      </c>
      <c r="DO82" s="26">
        <f t="shared" si="28"/>
        <v>72295581</v>
      </c>
    </row>
    <row r="83" spans="1:119" ht="32.25" customHeight="1" x14ac:dyDescent="0.25">
      <c r="A83" s="203"/>
      <c r="B83" s="189"/>
      <c r="C83" s="53" t="s">
        <v>258</v>
      </c>
      <c r="D83" s="19" t="s">
        <v>259</v>
      </c>
      <c r="E83" s="20">
        <v>301</v>
      </c>
      <c r="F83" s="80" t="s">
        <v>260</v>
      </c>
      <c r="G83" s="22">
        <f t="shared" si="73"/>
        <v>8991754</v>
      </c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>
        <f>2000000+5000000+1991754</f>
        <v>8991754</v>
      </c>
      <c r="AB83" s="23">
        <f t="shared" si="63"/>
        <v>0.22242601387893843</v>
      </c>
      <c r="AC83" s="22">
        <f t="shared" si="74"/>
        <v>2000000</v>
      </c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>
        <f>+'[3]JUNIO 2017'!$G$413</f>
        <v>2000000</v>
      </c>
      <c r="AX83" s="23">
        <f t="shared" si="64"/>
        <v>0.77757398612106154</v>
      </c>
      <c r="AY83" s="22">
        <f t="shared" si="75"/>
        <v>6991754</v>
      </c>
      <c r="AZ83" s="22">
        <f t="shared" si="76"/>
        <v>0</v>
      </c>
      <c r="BA83" s="22">
        <f t="shared" si="76"/>
        <v>0</v>
      </c>
      <c r="BB83" s="22">
        <f t="shared" si="76"/>
        <v>0</v>
      </c>
      <c r="BC83" s="22">
        <f t="shared" si="76"/>
        <v>0</v>
      </c>
      <c r="BD83" s="22">
        <f t="shared" si="76"/>
        <v>0</v>
      </c>
      <c r="BE83" s="22">
        <f t="shared" si="76"/>
        <v>0</v>
      </c>
      <c r="BF83" s="22">
        <f t="shared" si="76"/>
        <v>0</v>
      </c>
      <c r="BG83" s="22">
        <f t="shared" si="76"/>
        <v>0</v>
      </c>
      <c r="BH83" s="22">
        <f t="shared" si="76"/>
        <v>0</v>
      </c>
      <c r="BI83" s="22">
        <f t="shared" si="76"/>
        <v>0</v>
      </c>
      <c r="BJ83" s="22">
        <f t="shared" si="76"/>
        <v>0</v>
      </c>
      <c r="BK83" s="22">
        <f t="shared" si="76"/>
        <v>0</v>
      </c>
      <c r="BL83" s="22">
        <f t="shared" si="76"/>
        <v>0</v>
      </c>
      <c r="BM83" s="22">
        <f t="shared" si="76"/>
        <v>0</v>
      </c>
      <c r="BN83" s="22">
        <f t="shared" si="76"/>
        <v>0</v>
      </c>
      <c r="BO83" s="22">
        <f t="shared" si="76"/>
        <v>0</v>
      </c>
      <c r="BP83" s="22">
        <f t="shared" si="77"/>
        <v>0</v>
      </c>
      <c r="BQ83" s="22">
        <f t="shared" si="77"/>
        <v>0</v>
      </c>
      <c r="BR83" s="22">
        <f t="shared" si="77"/>
        <v>0</v>
      </c>
      <c r="BS83" s="22">
        <f t="shared" si="77"/>
        <v>6991754</v>
      </c>
      <c r="BT83" s="23">
        <f t="shared" si="66"/>
        <v>0.22242601387893843</v>
      </c>
      <c r="BU83" s="22">
        <f t="shared" si="78"/>
        <v>2000000</v>
      </c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>
        <f>+'[3]JUNIO 2017'!$H$413</f>
        <v>2000000</v>
      </c>
      <c r="CP83" s="23">
        <f t="shared" si="52"/>
        <v>0.77757398612106154</v>
      </c>
      <c r="CQ83" s="22">
        <f t="shared" si="79"/>
        <v>6991754</v>
      </c>
      <c r="CR83" s="22">
        <f t="shared" si="82"/>
        <v>0</v>
      </c>
      <c r="CS83" s="22">
        <f t="shared" si="82"/>
        <v>0</v>
      </c>
      <c r="CT83" s="22">
        <f t="shared" si="82"/>
        <v>0</v>
      </c>
      <c r="CU83" s="22">
        <f t="shared" si="82"/>
        <v>0</v>
      </c>
      <c r="CV83" s="22">
        <f t="shared" si="82"/>
        <v>0</v>
      </c>
      <c r="CW83" s="22">
        <f t="shared" si="82"/>
        <v>0</v>
      </c>
      <c r="CX83" s="22">
        <f t="shared" si="82"/>
        <v>0</v>
      </c>
      <c r="CY83" s="22">
        <f t="shared" si="82"/>
        <v>0</v>
      </c>
      <c r="CZ83" s="22">
        <f t="shared" si="82"/>
        <v>0</v>
      </c>
      <c r="DA83" s="22">
        <f t="shared" si="82"/>
        <v>0</v>
      </c>
      <c r="DB83" s="22">
        <f t="shared" si="82"/>
        <v>0</v>
      </c>
      <c r="DC83" s="22">
        <f t="shared" si="82"/>
        <v>0</v>
      </c>
      <c r="DD83" s="22">
        <f t="shared" si="82"/>
        <v>0</v>
      </c>
      <c r="DE83" s="22">
        <f t="shared" si="82"/>
        <v>0</v>
      </c>
      <c r="DF83" s="22">
        <f t="shared" si="82"/>
        <v>0</v>
      </c>
      <c r="DG83" s="22">
        <f t="shared" si="82"/>
        <v>0</v>
      </c>
      <c r="DH83" s="22">
        <f t="shared" si="80"/>
        <v>0</v>
      </c>
      <c r="DI83" s="22">
        <f t="shared" si="81"/>
        <v>0</v>
      </c>
      <c r="DJ83" s="22">
        <f t="shared" si="81"/>
        <v>0</v>
      </c>
      <c r="DK83" s="22">
        <f t="shared" si="81"/>
        <v>6991754</v>
      </c>
      <c r="DM83" s="26">
        <f t="shared" si="26"/>
        <v>8991754</v>
      </c>
      <c r="DN83" s="26">
        <f t="shared" si="27"/>
        <v>8991754</v>
      </c>
      <c r="DO83" s="26">
        <f t="shared" si="28"/>
        <v>8991754</v>
      </c>
    </row>
    <row r="84" spans="1:119" ht="31.5" customHeight="1" x14ac:dyDescent="0.25">
      <c r="A84" s="203"/>
      <c r="B84" s="189"/>
      <c r="C84" s="53" t="s">
        <v>261</v>
      </c>
      <c r="D84" s="19" t="s">
        <v>262</v>
      </c>
      <c r="E84" s="20">
        <v>301</v>
      </c>
      <c r="F84" s="21" t="s">
        <v>253</v>
      </c>
      <c r="G84" s="22">
        <f>SUM(H84:AA84)</f>
        <v>35000000</v>
      </c>
      <c r="H84" s="22">
        <v>35000000</v>
      </c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3">
        <f t="shared" si="63"/>
        <v>0.87946614285714286</v>
      </c>
      <c r="AC84" s="22">
        <f t="shared" si="74"/>
        <v>30781315</v>
      </c>
      <c r="AD84" s="22">
        <f>+'[6]JULIO 2017'!$J$557</f>
        <v>30781315</v>
      </c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3">
        <f t="shared" si="64"/>
        <v>0.12053385714285714</v>
      </c>
      <c r="AY84" s="22">
        <f t="shared" si="75"/>
        <v>4218685</v>
      </c>
      <c r="AZ84" s="22">
        <f t="shared" si="76"/>
        <v>4218685</v>
      </c>
      <c r="BA84" s="22">
        <f t="shared" si="76"/>
        <v>0</v>
      </c>
      <c r="BB84" s="22">
        <f t="shared" si="76"/>
        <v>0</v>
      </c>
      <c r="BC84" s="22">
        <f t="shared" si="76"/>
        <v>0</v>
      </c>
      <c r="BD84" s="22">
        <f t="shared" si="76"/>
        <v>0</v>
      </c>
      <c r="BE84" s="22">
        <f t="shared" si="76"/>
        <v>0</v>
      </c>
      <c r="BF84" s="22">
        <f t="shared" si="76"/>
        <v>0</v>
      </c>
      <c r="BG84" s="22">
        <f t="shared" si="76"/>
        <v>0</v>
      </c>
      <c r="BH84" s="22">
        <f t="shared" si="76"/>
        <v>0</v>
      </c>
      <c r="BI84" s="22">
        <f t="shared" si="76"/>
        <v>0</v>
      </c>
      <c r="BJ84" s="22">
        <f t="shared" si="76"/>
        <v>0</v>
      </c>
      <c r="BK84" s="22">
        <f t="shared" si="76"/>
        <v>0</v>
      </c>
      <c r="BL84" s="22">
        <f t="shared" si="76"/>
        <v>0</v>
      </c>
      <c r="BM84" s="22">
        <f t="shared" si="76"/>
        <v>0</v>
      </c>
      <c r="BN84" s="22">
        <f t="shared" si="76"/>
        <v>0</v>
      </c>
      <c r="BO84" s="22">
        <f t="shared" si="76"/>
        <v>0</v>
      </c>
      <c r="BP84" s="22">
        <f t="shared" si="77"/>
        <v>0</v>
      </c>
      <c r="BQ84" s="22">
        <f t="shared" si="77"/>
        <v>0</v>
      </c>
      <c r="BR84" s="22">
        <f t="shared" si="77"/>
        <v>0</v>
      </c>
      <c r="BS84" s="22">
        <f t="shared" si="77"/>
        <v>0</v>
      </c>
      <c r="BT84" s="23">
        <f t="shared" si="66"/>
        <v>0.87946614285714286</v>
      </c>
      <c r="BU84" s="22">
        <f t="shared" si="78"/>
        <v>30781315</v>
      </c>
      <c r="BV84" s="22">
        <f>+'[6]JULIO 2017'!$H$555</f>
        <v>30781315</v>
      </c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3">
        <f t="shared" si="52"/>
        <v>0.12053385714285714</v>
      </c>
      <c r="CQ84" s="22">
        <f t="shared" si="79"/>
        <v>4218685</v>
      </c>
      <c r="CR84" s="22">
        <f t="shared" si="82"/>
        <v>4218685</v>
      </c>
      <c r="CS84" s="22">
        <f t="shared" si="82"/>
        <v>0</v>
      </c>
      <c r="CT84" s="22">
        <f t="shared" si="82"/>
        <v>0</v>
      </c>
      <c r="CU84" s="22">
        <f t="shared" si="82"/>
        <v>0</v>
      </c>
      <c r="CV84" s="22">
        <f t="shared" si="82"/>
        <v>0</v>
      </c>
      <c r="CW84" s="22">
        <f t="shared" si="82"/>
        <v>0</v>
      </c>
      <c r="CX84" s="22">
        <f t="shared" si="82"/>
        <v>0</v>
      </c>
      <c r="CY84" s="22">
        <f t="shared" si="82"/>
        <v>0</v>
      </c>
      <c r="CZ84" s="22">
        <f t="shared" si="82"/>
        <v>0</v>
      </c>
      <c r="DA84" s="22">
        <f t="shared" si="82"/>
        <v>0</v>
      </c>
      <c r="DB84" s="22">
        <f t="shared" si="82"/>
        <v>0</v>
      </c>
      <c r="DC84" s="22">
        <f t="shared" si="82"/>
        <v>0</v>
      </c>
      <c r="DD84" s="22">
        <f t="shared" si="82"/>
        <v>0</v>
      </c>
      <c r="DE84" s="22">
        <f t="shared" si="82"/>
        <v>0</v>
      </c>
      <c r="DF84" s="22">
        <f t="shared" si="82"/>
        <v>0</v>
      </c>
      <c r="DG84" s="22">
        <f t="shared" si="82"/>
        <v>0</v>
      </c>
      <c r="DH84" s="22">
        <f t="shared" si="80"/>
        <v>0</v>
      </c>
      <c r="DI84" s="22">
        <f t="shared" si="81"/>
        <v>0</v>
      </c>
      <c r="DJ84" s="22">
        <f t="shared" si="81"/>
        <v>0</v>
      </c>
      <c r="DK84" s="22">
        <f t="shared" si="81"/>
        <v>0</v>
      </c>
      <c r="DM84" s="26">
        <f t="shared" si="26"/>
        <v>35000000</v>
      </c>
      <c r="DN84" s="26">
        <f t="shared" si="27"/>
        <v>35000000</v>
      </c>
      <c r="DO84" s="26">
        <f t="shared" si="28"/>
        <v>35000000</v>
      </c>
    </row>
    <row r="85" spans="1:119" ht="20.25" customHeight="1" x14ac:dyDescent="0.25">
      <c r="A85" s="203"/>
      <c r="B85" s="189"/>
      <c r="C85" s="53" t="s">
        <v>263</v>
      </c>
      <c r="D85" s="19" t="s">
        <v>264</v>
      </c>
      <c r="E85" s="20">
        <v>301</v>
      </c>
      <c r="F85" s="21" t="s">
        <v>151</v>
      </c>
      <c r="G85" s="22">
        <f t="shared" si="73"/>
        <v>190000000</v>
      </c>
      <c r="H85" s="22"/>
      <c r="I85" s="22">
        <v>60000000</v>
      </c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>
        <v>50000000</v>
      </c>
      <c r="V85" s="22"/>
      <c r="W85" s="22">
        <v>80000000</v>
      </c>
      <c r="X85" s="22"/>
      <c r="Y85" s="22"/>
      <c r="Z85" s="22"/>
      <c r="AA85" s="22"/>
      <c r="AB85" s="23">
        <f t="shared" si="63"/>
        <v>0.94695865789473688</v>
      </c>
      <c r="AC85" s="22">
        <f t="shared" si="74"/>
        <v>179922145</v>
      </c>
      <c r="AD85" s="22"/>
      <c r="AE85" s="22">
        <f>+'[1]ENERO 2017'!$K$184</f>
        <v>60000000</v>
      </c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>
        <f>+'[6]JULIO 2017'!$W$565</f>
        <v>50000000</v>
      </c>
      <c r="AR85" s="22"/>
      <c r="AS85" s="22">
        <f>+'[6]JULIO 2017'!$Y$565</f>
        <v>69922145</v>
      </c>
      <c r="AT85" s="22"/>
      <c r="AU85" s="22"/>
      <c r="AV85" s="22"/>
      <c r="AW85" s="22"/>
      <c r="AX85" s="23">
        <f t="shared" si="64"/>
        <v>5.3041342105263123E-2</v>
      </c>
      <c r="AY85" s="22">
        <f t="shared" si="75"/>
        <v>10077855</v>
      </c>
      <c r="AZ85" s="22">
        <f t="shared" si="76"/>
        <v>0</v>
      </c>
      <c r="BA85" s="22">
        <f t="shared" si="76"/>
        <v>0</v>
      </c>
      <c r="BB85" s="22">
        <f t="shared" si="76"/>
        <v>0</v>
      </c>
      <c r="BC85" s="22">
        <f t="shared" si="76"/>
        <v>0</v>
      </c>
      <c r="BD85" s="22">
        <f t="shared" si="76"/>
        <v>0</v>
      </c>
      <c r="BE85" s="22">
        <f t="shared" si="76"/>
        <v>0</v>
      </c>
      <c r="BF85" s="22">
        <f t="shared" si="76"/>
        <v>0</v>
      </c>
      <c r="BG85" s="22">
        <f t="shared" si="76"/>
        <v>0</v>
      </c>
      <c r="BH85" s="22">
        <f t="shared" si="76"/>
        <v>0</v>
      </c>
      <c r="BI85" s="22">
        <f t="shared" si="76"/>
        <v>0</v>
      </c>
      <c r="BJ85" s="22">
        <f t="shared" si="76"/>
        <v>0</v>
      </c>
      <c r="BK85" s="22">
        <f t="shared" si="76"/>
        <v>0</v>
      </c>
      <c r="BL85" s="22">
        <f t="shared" si="76"/>
        <v>0</v>
      </c>
      <c r="BM85" s="22">
        <f t="shared" si="76"/>
        <v>0</v>
      </c>
      <c r="BN85" s="22">
        <f t="shared" si="76"/>
        <v>0</v>
      </c>
      <c r="BO85" s="22">
        <f t="shared" si="76"/>
        <v>10077855</v>
      </c>
      <c r="BP85" s="22">
        <f t="shared" si="77"/>
        <v>0</v>
      </c>
      <c r="BQ85" s="22">
        <f t="shared" si="77"/>
        <v>0</v>
      </c>
      <c r="BR85" s="22">
        <f t="shared" si="77"/>
        <v>0</v>
      </c>
      <c r="BS85" s="22">
        <f t="shared" si="77"/>
        <v>0</v>
      </c>
      <c r="BT85" s="23">
        <f t="shared" si="66"/>
        <v>0.88058536842105262</v>
      </c>
      <c r="BU85" s="22">
        <f t="shared" si="78"/>
        <v>167311220</v>
      </c>
      <c r="BV85" s="22"/>
      <c r="BW85" s="22">
        <f>+'[3]JUNIO 2017'!$H$451</f>
        <v>60000000</v>
      </c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>
        <f>+'[5]AGOSTO 2017'!$H$717</f>
        <v>37389075</v>
      </c>
      <c r="CJ85" s="22"/>
      <c r="CK85" s="22">
        <f>+'[5]AGOSTO 2017'!$H$715+'[5]AGOSTO 2017'!$H$692</f>
        <v>69922145</v>
      </c>
      <c r="CL85" s="22"/>
      <c r="CM85" s="22"/>
      <c r="CN85" s="22"/>
      <c r="CO85" s="22"/>
      <c r="CP85" s="23">
        <f t="shared" si="52"/>
        <v>0.11941463157894738</v>
      </c>
      <c r="CQ85" s="22">
        <f t="shared" si="79"/>
        <v>22688780</v>
      </c>
      <c r="CR85" s="22">
        <f t="shared" si="82"/>
        <v>0</v>
      </c>
      <c r="CS85" s="22">
        <f t="shared" si="82"/>
        <v>0</v>
      </c>
      <c r="CT85" s="22">
        <f t="shared" si="82"/>
        <v>0</v>
      </c>
      <c r="CU85" s="22">
        <f t="shared" si="82"/>
        <v>0</v>
      </c>
      <c r="CV85" s="22">
        <f t="shared" si="82"/>
        <v>0</v>
      </c>
      <c r="CW85" s="22">
        <f t="shared" si="82"/>
        <v>0</v>
      </c>
      <c r="CX85" s="22">
        <f t="shared" si="82"/>
        <v>0</v>
      </c>
      <c r="CY85" s="22">
        <f t="shared" si="82"/>
        <v>0</v>
      </c>
      <c r="CZ85" s="22">
        <f t="shared" si="82"/>
        <v>0</v>
      </c>
      <c r="DA85" s="22">
        <f t="shared" si="82"/>
        <v>0</v>
      </c>
      <c r="DB85" s="22">
        <f t="shared" si="82"/>
        <v>0</v>
      </c>
      <c r="DC85" s="22">
        <f t="shared" si="82"/>
        <v>0</v>
      </c>
      <c r="DD85" s="22">
        <f t="shared" si="82"/>
        <v>0</v>
      </c>
      <c r="DE85" s="22">
        <f t="shared" si="82"/>
        <v>12610925</v>
      </c>
      <c r="DF85" s="22">
        <f t="shared" si="82"/>
        <v>0</v>
      </c>
      <c r="DG85" s="22">
        <f t="shared" si="82"/>
        <v>10077855</v>
      </c>
      <c r="DH85" s="22">
        <f t="shared" si="80"/>
        <v>0</v>
      </c>
      <c r="DI85" s="22">
        <f t="shared" si="81"/>
        <v>0</v>
      </c>
      <c r="DJ85" s="22">
        <f t="shared" si="81"/>
        <v>0</v>
      </c>
      <c r="DK85" s="22">
        <f t="shared" si="81"/>
        <v>0</v>
      </c>
      <c r="DM85" s="26">
        <f t="shared" si="26"/>
        <v>190000000</v>
      </c>
      <c r="DN85" s="26">
        <f t="shared" si="27"/>
        <v>190000000</v>
      </c>
      <c r="DO85" s="26">
        <f t="shared" si="28"/>
        <v>190000000</v>
      </c>
    </row>
    <row r="86" spans="1:119" ht="29.25" customHeight="1" x14ac:dyDescent="0.25">
      <c r="A86" s="203"/>
      <c r="B86" s="189"/>
      <c r="C86" s="53" t="s">
        <v>265</v>
      </c>
      <c r="D86" s="19" t="s">
        <v>266</v>
      </c>
      <c r="E86" s="20">
        <v>301</v>
      </c>
      <c r="F86" s="21" t="s">
        <v>267</v>
      </c>
      <c r="G86" s="22">
        <f t="shared" si="73"/>
        <v>29955000</v>
      </c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>
        <v>29955000</v>
      </c>
      <c r="X86" s="22"/>
      <c r="Y86" s="22"/>
      <c r="Z86" s="22"/>
      <c r="AA86" s="22"/>
      <c r="AB86" s="23">
        <f t="shared" si="63"/>
        <v>0.98322630612585549</v>
      </c>
      <c r="AC86" s="22">
        <f t="shared" si="74"/>
        <v>29452544</v>
      </c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>
        <f>+'[6]JULIO 2017'!$Y$596</f>
        <v>29452544</v>
      </c>
      <c r="AT86" s="22"/>
      <c r="AU86" s="22"/>
      <c r="AV86" s="22"/>
      <c r="AW86" s="22"/>
      <c r="AX86" s="23">
        <f t="shared" si="64"/>
        <v>1.6773693874144513E-2</v>
      </c>
      <c r="AY86" s="22">
        <f t="shared" si="75"/>
        <v>502456</v>
      </c>
      <c r="AZ86" s="22">
        <f t="shared" si="76"/>
        <v>0</v>
      </c>
      <c r="BA86" s="22">
        <f t="shared" si="76"/>
        <v>0</v>
      </c>
      <c r="BB86" s="22">
        <f t="shared" si="76"/>
        <v>0</v>
      </c>
      <c r="BC86" s="22">
        <f t="shared" si="76"/>
        <v>0</v>
      </c>
      <c r="BD86" s="22">
        <f t="shared" si="76"/>
        <v>0</v>
      </c>
      <c r="BE86" s="22">
        <f t="shared" si="76"/>
        <v>0</v>
      </c>
      <c r="BF86" s="22">
        <f t="shared" si="76"/>
        <v>0</v>
      </c>
      <c r="BG86" s="22">
        <f t="shared" si="76"/>
        <v>0</v>
      </c>
      <c r="BH86" s="22">
        <f t="shared" si="76"/>
        <v>0</v>
      </c>
      <c r="BI86" s="22">
        <f t="shared" si="76"/>
        <v>0</v>
      </c>
      <c r="BJ86" s="22">
        <f t="shared" si="76"/>
        <v>0</v>
      </c>
      <c r="BK86" s="22">
        <f t="shared" si="76"/>
        <v>0</v>
      </c>
      <c r="BL86" s="22">
        <f t="shared" si="76"/>
        <v>0</v>
      </c>
      <c r="BM86" s="22">
        <f t="shared" si="76"/>
        <v>0</v>
      </c>
      <c r="BN86" s="22">
        <f t="shared" si="76"/>
        <v>0</v>
      </c>
      <c r="BO86" s="22">
        <f t="shared" si="76"/>
        <v>502456</v>
      </c>
      <c r="BP86" s="22">
        <f t="shared" si="77"/>
        <v>0</v>
      </c>
      <c r="BQ86" s="22">
        <f t="shared" si="77"/>
        <v>0</v>
      </c>
      <c r="BR86" s="22">
        <f t="shared" si="77"/>
        <v>0</v>
      </c>
      <c r="BS86" s="22">
        <f t="shared" si="77"/>
        <v>0</v>
      </c>
      <c r="BT86" s="23">
        <f t="shared" si="66"/>
        <v>0.98322630612585549</v>
      </c>
      <c r="BU86" s="22">
        <f t="shared" si="78"/>
        <v>29452544</v>
      </c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>
        <f>+'[5]AGOSTO 2017'!$Y$729</f>
        <v>29452544</v>
      </c>
      <c r="CL86" s="22"/>
      <c r="CM86" s="22"/>
      <c r="CN86" s="22"/>
      <c r="CO86" s="22"/>
      <c r="CP86" s="23">
        <f t="shared" si="52"/>
        <v>1.6773693874144513E-2</v>
      </c>
      <c r="CQ86" s="22">
        <f t="shared" si="79"/>
        <v>502456</v>
      </c>
      <c r="CR86" s="22">
        <f t="shared" si="82"/>
        <v>0</v>
      </c>
      <c r="CS86" s="22">
        <f t="shared" si="82"/>
        <v>0</v>
      </c>
      <c r="CT86" s="22">
        <f t="shared" si="82"/>
        <v>0</v>
      </c>
      <c r="CU86" s="22">
        <f t="shared" si="82"/>
        <v>0</v>
      </c>
      <c r="CV86" s="22">
        <f t="shared" si="82"/>
        <v>0</v>
      </c>
      <c r="CW86" s="22">
        <f t="shared" si="82"/>
        <v>0</v>
      </c>
      <c r="CX86" s="22">
        <f t="shared" si="82"/>
        <v>0</v>
      </c>
      <c r="CY86" s="22">
        <f t="shared" si="82"/>
        <v>0</v>
      </c>
      <c r="CZ86" s="22">
        <f t="shared" si="82"/>
        <v>0</v>
      </c>
      <c r="DA86" s="22">
        <f t="shared" si="82"/>
        <v>0</v>
      </c>
      <c r="DB86" s="22">
        <f t="shared" si="82"/>
        <v>0</v>
      </c>
      <c r="DC86" s="22">
        <f t="shared" si="82"/>
        <v>0</v>
      </c>
      <c r="DD86" s="22">
        <f t="shared" si="82"/>
        <v>0</v>
      </c>
      <c r="DE86" s="22">
        <f t="shared" si="82"/>
        <v>0</v>
      </c>
      <c r="DF86" s="22">
        <f t="shared" si="82"/>
        <v>0</v>
      </c>
      <c r="DG86" s="22">
        <f t="shared" si="82"/>
        <v>502456</v>
      </c>
      <c r="DH86" s="22">
        <f t="shared" si="80"/>
        <v>0</v>
      </c>
      <c r="DI86" s="22">
        <f t="shared" si="81"/>
        <v>0</v>
      </c>
      <c r="DJ86" s="22">
        <f t="shared" si="81"/>
        <v>0</v>
      </c>
      <c r="DK86" s="22">
        <f t="shared" si="81"/>
        <v>0</v>
      </c>
      <c r="DM86" s="26">
        <f t="shared" si="26"/>
        <v>29955000</v>
      </c>
      <c r="DN86" s="26">
        <f t="shared" si="27"/>
        <v>29955000</v>
      </c>
      <c r="DO86" s="26">
        <f t="shared" si="28"/>
        <v>29955000</v>
      </c>
    </row>
    <row r="87" spans="1:119" ht="25.5" customHeight="1" x14ac:dyDescent="0.25">
      <c r="A87" s="203"/>
      <c r="B87" s="68" t="s">
        <v>268</v>
      </c>
      <c r="C87" s="81" t="s">
        <v>269</v>
      </c>
      <c r="D87" s="19" t="s">
        <v>270</v>
      </c>
      <c r="E87" s="28">
        <v>301</v>
      </c>
      <c r="F87" s="21" t="s">
        <v>271</v>
      </c>
      <c r="G87" s="22">
        <f t="shared" si="73"/>
        <v>514028160</v>
      </c>
      <c r="H87" s="22">
        <v>30000000</v>
      </c>
      <c r="I87" s="22">
        <v>270000000</v>
      </c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>
        <v>115000000</v>
      </c>
      <c r="U87" s="22">
        <v>17000000</v>
      </c>
      <c r="V87" s="22">
        <v>80000000</v>
      </c>
      <c r="W87" s="22"/>
      <c r="X87" s="22"/>
      <c r="Y87" s="22"/>
      <c r="Z87" s="22"/>
      <c r="AA87" s="22">
        <f>1000000+1028160</f>
        <v>2028160</v>
      </c>
      <c r="AB87" s="23">
        <f t="shared" si="63"/>
        <v>0.99805458128986557</v>
      </c>
      <c r="AC87" s="22">
        <f t="shared" si="74"/>
        <v>513028160</v>
      </c>
      <c r="AD87" s="22">
        <f>+'[5]AGOSTO 2017'!$J$739</f>
        <v>30000000</v>
      </c>
      <c r="AE87" s="22">
        <f>+'[5]AGOSTO 2017'!$K$739</f>
        <v>270000000</v>
      </c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>
        <f>+'[5]AGOSTO 2017'!$V$739</f>
        <v>115000000</v>
      </c>
      <c r="AQ87" s="22">
        <f>+'[6]JULIO 2017'!$W$605</f>
        <v>17000000</v>
      </c>
      <c r="AR87" s="22">
        <f>+'[5]AGOSTO 2017'!$X$739</f>
        <v>80000000</v>
      </c>
      <c r="AS87" s="22"/>
      <c r="AT87" s="22"/>
      <c r="AU87" s="22"/>
      <c r="AV87" s="22"/>
      <c r="AW87" s="22">
        <f>+'[3]JUNIO 2017'!$AC$468</f>
        <v>1028160</v>
      </c>
      <c r="AX87" s="23">
        <f t="shared" si="64"/>
        <v>1.9454187101344278E-3</v>
      </c>
      <c r="AY87" s="22">
        <f t="shared" si="75"/>
        <v>1000000</v>
      </c>
      <c r="AZ87" s="22">
        <f t="shared" si="76"/>
        <v>0</v>
      </c>
      <c r="BA87" s="22">
        <f t="shared" si="76"/>
        <v>0</v>
      </c>
      <c r="BB87" s="22">
        <f t="shared" si="76"/>
        <v>0</v>
      </c>
      <c r="BC87" s="22">
        <f t="shared" si="76"/>
        <v>0</v>
      </c>
      <c r="BD87" s="22">
        <f t="shared" si="76"/>
        <v>0</v>
      </c>
      <c r="BE87" s="22">
        <f t="shared" si="76"/>
        <v>0</v>
      </c>
      <c r="BF87" s="22">
        <f t="shared" si="76"/>
        <v>0</v>
      </c>
      <c r="BG87" s="22">
        <f t="shared" si="76"/>
        <v>0</v>
      </c>
      <c r="BH87" s="22">
        <f t="shared" si="76"/>
        <v>0</v>
      </c>
      <c r="BI87" s="22">
        <f t="shared" si="76"/>
        <v>0</v>
      </c>
      <c r="BJ87" s="22">
        <f t="shared" si="76"/>
        <v>0</v>
      </c>
      <c r="BK87" s="22">
        <f t="shared" si="76"/>
        <v>0</v>
      </c>
      <c r="BL87" s="22">
        <f t="shared" si="76"/>
        <v>0</v>
      </c>
      <c r="BM87" s="22">
        <f t="shared" si="76"/>
        <v>0</v>
      </c>
      <c r="BN87" s="22">
        <f t="shared" si="76"/>
        <v>0</v>
      </c>
      <c r="BO87" s="22">
        <f t="shared" si="76"/>
        <v>0</v>
      </c>
      <c r="BP87" s="22">
        <f t="shared" si="77"/>
        <v>0</v>
      </c>
      <c r="BQ87" s="22">
        <f t="shared" si="77"/>
        <v>0</v>
      </c>
      <c r="BR87" s="22">
        <f t="shared" si="77"/>
        <v>0</v>
      </c>
      <c r="BS87" s="22">
        <f t="shared" si="77"/>
        <v>1000000</v>
      </c>
      <c r="BT87" s="23">
        <f t="shared" si="66"/>
        <v>0.81012588298664412</v>
      </c>
      <c r="BU87" s="22">
        <f t="shared" si="78"/>
        <v>416427517</v>
      </c>
      <c r="BV87" s="22">
        <f>+'[2]FEBRERO 2017'!$H$297</f>
        <v>22000000</v>
      </c>
      <c r="BW87" s="22">
        <f>+'[6]JULIO 2017'!$H$610</f>
        <v>268649090</v>
      </c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>
        <f>+'[5]AGOSTO 2017'!$H$803+'[5]AGOSTO 2017'!$H$806+'[5]AGOSTO 2017'!$H$821</f>
        <v>110056741</v>
      </c>
      <c r="CI87" s="22">
        <f>+'[5]AGOSTO 2017'!$H$813</f>
        <v>11693526</v>
      </c>
      <c r="CJ87" s="22">
        <f>+'[5]AGOSTO 2017'!$H$811</f>
        <v>3000000</v>
      </c>
      <c r="CK87" s="22"/>
      <c r="CL87" s="22"/>
      <c r="CM87" s="22"/>
      <c r="CN87" s="22"/>
      <c r="CO87" s="22">
        <f>+'[6]JULIO 2017'!$H$667</f>
        <v>1028160</v>
      </c>
      <c r="CP87" s="23">
        <f t="shared" si="52"/>
        <v>0.18987411701335588</v>
      </c>
      <c r="CQ87" s="22">
        <f t="shared" si="79"/>
        <v>97600643</v>
      </c>
      <c r="CR87" s="22">
        <f t="shared" si="82"/>
        <v>8000000</v>
      </c>
      <c r="CS87" s="22">
        <f t="shared" si="82"/>
        <v>1350910</v>
      </c>
      <c r="CT87" s="22">
        <f t="shared" si="82"/>
        <v>0</v>
      </c>
      <c r="CU87" s="22">
        <f t="shared" si="82"/>
        <v>0</v>
      </c>
      <c r="CV87" s="22">
        <f t="shared" si="82"/>
        <v>0</v>
      </c>
      <c r="CW87" s="22">
        <f t="shared" si="82"/>
        <v>0</v>
      </c>
      <c r="CX87" s="22">
        <f t="shared" si="82"/>
        <v>0</v>
      </c>
      <c r="CY87" s="22">
        <f t="shared" si="82"/>
        <v>0</v>
      </c>
      <c r="CZ87" s="22">
        <f t="shared" si="82"/>
        <v>0</v>
      </c>
      <c r="DA87" s="22">
        <f t="shared" si="82"/>
        <v>0</v>
      </c>
      <c r="DB87" s="22">
        <f t="shared" si="82"/>
        <v>0</v>
      </c>
      <c r="DC87" s="22">
        <f t="shared" si="82"/>
        <v>0</v>
      </c>
      <c r="DD87" s="22">
        <f t="shared" si="82"/>
        <v>4943259</v>
      </c>
      <c r="DE87" s="22">
        <f t="shared" si="82"/>
        <v>5306474</v>
      </c>
      <c r="DF87" s="22">
        <f t="shared" si="82"/>
        <v>77000000</v>
      </c>
      <c r="DG87" s="22">
        <f t="shared" si="82"/>
        <v>0</v>
      </c>
      <c r="DH87" s="22">
        <f t="shared" si="80"/>
        <v>0</v>
      </c>
      <c r="DI87" s="22">
        <f t="shared" si="81"/>
        <v>0</v>
      </c>
      <c r="DJ87" s="22">
        <f t="shared" si="81"/>
        <v>0</v>
      </c>
      <c r="DK87" s="22">
        <f t="shared" si="81"/>
        <v>1000000</v>
      </c>
      <c r="DM87" s="26">
        <f t="shared" si="26"/>
        <v>514028160</v>
      </c>
      <c r="DN87" s="26">
        <f t="shared" si="27"/>
        <v>514028160</v>
      </c>
      <c r="DO87" s="26">
        <f t="shared" si="28"/>
        <v>514028160</v>
      </c>
    </row>
    <row r="88" spans="1:119" ht="39" customHeight="1" x14ac:dyDescent="0.25">
      <c r="A88" s="203"/>
      <c r="B88" s="59" t="s">
        <v>272</v>
      </c>
      <c r="C88" s="53" t="s">
        <v>273</v>
      </c>
      <c r="D88" s="19" t="s">
        <v>274</v>
      </c>
      <c r="E88" s="20">
        <v>301</v>
      </c>
      <c r="F88" s="21" t="s">
        <v>275</v>
      </c>
      <c r="G88" s="22">
        <f t="shared" si="73"/>
        <v>416048971</v>
      </c>
      <c r="H88" s="22">
        <v>20000000</v>
      </c>
      <c r="I88" s="22">
        <v>270000000</v>
      </c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>
        <v>115450000</v>
      </c>
      <c r="U88" s="22"/>
      <c r="V88" s="22"/>
      <c r="W88" s="22"/>
      <c r="X88" s="22"/>
      <c r="Y88" s="22"/>
      <c r="Z88" s="22"/>
      <c r="AA88" s="22">
        <f>3000000+2098971+5500000</f>
        <v>10598971</v>
      </c>
      <c r="AB88" s="23">
        <f t="shared" si="63"/>
        <v>0.86157648975413526</v>
      </c>
      <c r="AC88" s="22">
        <f t="shared" si="74"/>
        <v>358458012</v>
      </c>
      <c r="AD88" s="22">
        <f>+'[1]ENERO 2017'!$J$213</f>
        <v>20000000</v>
      </c>
      <c r="AE88" s="22">
        <f>+'[1]ENERO 2017'!$K$213</f>
        <v>270000000</v>
      </c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>
        <f>+'[6]JULIO 2017'!$V$679</f>
        <v>60958012</v>
      </c>
      <c r="AQ88" s="22"/>
      <c r="AR88" s="22"/>
      <c r="AS88" s="22"/>
      <c r="AT88" s="22"/>
      <c r="AU88" s="22"/>
      <c r="AV88" s="22"/>
      <c r="AW88" s="22">
        <f>+'[5]AGOSTO 2017'!$AC$829</f>
        <v>7500000</v>
      </c>
      <c r="AX88" s="23">
        <f t="shared" si="64"/>
        <v>0.13842351024586474</v>
      </c>
      <c r="AY88" s="22">
        <f t="shared" si="75"/>
        <v>57590959</v>
      </c>
      <c r="AZ88" s="22">
        <f t="shared" si="76"/>
        <v>0</v>
      </c>
      <c r="BA88" s="22">
        <f t="shared" si="76"/>
        <v>0</v>
      </c>
      <c r="BB88" s="22">
        <f t="shared" si="76"/>
        <v>0</v>
      </c>
      <c r="BC88" s="22">
        <f t="shared" si="76"/>
        <v>0</v>
      </c>
      <c r="BD88" s="22">
        <f t="shared" si="76"/>
        <v>0</v>
      </c>
      <c r="BE88" s="22">
        <f t="shared" si="76"/>
        <v>0</v>
      </c>
      <c r="BF88" s="22">
        <f t="shared" si="76"/>
        <v>0</v>
      </c>
      <c r="BG88" s="22">
        <f t="shared" si="76"/>
        <v>0</v>
      </c>
      <c r="BH88" s="22">
        <f t="shared" si="76"/>
        <v>0</v>
      </c>
      <c r="BI88" s="22">
        <f t="shared" si="76"/>
        <v>0</v>
      </c>
      <c r="BJ88" s="22">
        <f t="shared" si="76"/>
        <v>0</v>
      </c>
      <c r="BK88" s="22">
        <f t="shared" si="76"/>
        <v>0</v>
      </c>
      <c r="BL88" s="22">
        <f t="shared" si="76"/>
        <v>54491988</v>
      </c>
      <c r="BM88" s="22">
        <f t="shared" si="76"/>
        <v>0</v>
      </c>
      <c r="BN88" s="22">
        <f t="shared" si="76"/>
        <v>0</v>
      </c>
      <c r="BO88" s="22">
        <f t="shared" si="76"/>
        <v>0</v>
      </c>
      <c r="BP88" s="22">
        <f t="shared" si="77"/>
        <v>0</v>
      </c>
      <c r="BQ88" s="22">
        <f t="shared" si="77"/>
        <v>0</v>
      </c>
      <c r="BR88" s="22">
        <f t="shared" si="77"/>
        <v>0</v>
      </c>
      <c r="BS88" s="22">
        <f t="shared" si="77"/>
        <v>3098971</v>
      </c>
      <c r="BT88" s="23">
        <f t="shared" si="66"/>
        <v>0.85676926478926441</v>
      </c>
      <c r="BU88" s="22">
        <f t="shared" si="78"/>
        <v>356457971</v>
      </c>
      <c r="BV88" s="22">
        <f>+'[2]FEBRERO 2017'!$H$347</f>
        <v>20000000</v>
      </c>
      <c r="BW88" s="22">
        <f>+'[5]AGOSTO 2017'!$H$830+'[5]AGOSTO 2017'!$H$865</f>
        <v>269999999</v>
      </c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>
        <f>+'[5]AGOSTO 2017'!$H$874</f>
        <v>60958012</v>
      </c>
      <c r="CI88" s="22"/>
      <c r="CJ88" s="22"/>
      <c r="CK88" s="22"/>
      <c r="CL88" s="22"/>
      <c r="CM88" s="22"/>
      <c r="CN88" s="22"/>
      <c r="CO88" s="22">
        <f>+'[5]AGOSTO 2017'!$H$827-CH88-BW88-BV88</f>
        <v>5499960</v>
      </c>
      <c r="CP88" s="23">
        <f t="shared" si="52"/>
        <v>0.14323073521073559</v>
      </c>
      <c r="CQ88" s="22">
        <f t="shared" si="79"/>
        <v>59591000</v>
      </c>
      <c r="CR88" s="22">
        <f t="shared" si="82"/>
        <v>0</v>
      </c>
      <c r="CS88" s="22">
        <f t="shared" si="82"/>
        <v>1</v>
      </c>
      <c r="CT88" s="22">
        <f t="shared" si="82"/>
        <v>0</v>
      </c>
      <c r="CU88" s="22">
        <f t="shared" si="82"/>
        <v>0</v>
      </c>
      <c r="CV88" s="22">
        <f t="shared" si="82"/>
        <v>0</v>
      </c>
      <c r="CW88" s="22">
        <f t="shared" si="82"/>
        <v>0</v>
      </c>
      <c r="CX88" s="22">
        <f t="shared" si="82"/>
        <v>0</v>
      </c>
      <c r="CY88" s="22">
        <f t="shared" si="82"/>
        <v>0</v>
      </c>
      <c r="CZ88" s="22">
        <f t="shared" si="82"/>
        <v>0</v>
      </c>
      <c r="DA88" s="22">
        <f t="shared" si="82"/>
        <v>0</v>
      </c>
      <c r="DB88" s="22">
        <f t="shared" si="82"/>
        <v>0</v>
      </c>
      <c r="DC88" s="22">
        <f t="shared" si="82"/>
        <v>0</v>
      </c>
      <c r="DD88" s="22">
        <f t="shared" si="82"/>
        <v>54491988</v>
      </c>
      <c r="DE88" s="22">
        <f t="shared" si="82"/>
        <v>0</v>
      </c>
      <c r="DF88" s="22">
        <f t="shared" si="82"/>
        <v>0</v>
      </c>
      <c r="DG88" s="22">
        <f t="shared" si="82"/>
        <v>0</v>
      </c>
      <c r="DH88" s="22">
        <f t="shared" si="80"/>
        <v>0</v>
      </c>
      <c r="DI88" s="22">
        <f t="shared" si="81"/>
        <v>0</v>
      </c>
      <c r="DJ88" s="22">
        <f t="shared" si="81"/>
        <v>0</v>
      </c>
      <c r="DK88" s="22">
        <f t="shared" si="81"/>
        <v>5099011</v>
      </c>
      <c r="DM88" s="26">
        <f t="shared" si="26"/>
        <v>416048971</v>
      </c>
      <c r="DN88" s="26">
        <f t="shared" si="27"/>
        <v>416048971</v>
      </c>
      <c r="DO88" s="26">
        <f t="shared" si="28"/>
        <v>416048971</v>
      </c>
    </row>
    <row r="89" spans="1:119" ht="66.75" customHeight="1" x14ac:dyDescent="0.25">
      <c r="A89" s="203"/>
      <c r="B89" s="59" t="s">
        <v>276</v>
      </c>
      <c r="C89" s="53" t="s">
        <v>277</v>
      </c>
      <c r="D89" s="19" t="s">
        <v>278</v>
      </c>
      <c r="E89" s="20">
        <v>301</v>
      </c>
      <c r="F89" s="32" t="s">
        <v>279</v>
      </c>
      <c r="G89" s="22">
        <f t="shared" si="73"/>
        <v>125165225</v>
      </c>
      <c r="H89" s="22">
        <v>880851</v>
      </c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>
        <v>37683184</v>
      </c>
      <c r="X89" s="22"/>
      <c r="Y89" s="22"/>
      <c r="Z89" s="22"/>
      <c r="AA89" s="22">
        <f>33000000+4901190+5000000+5500000+4200000+30000000+4000000</f>
        <v>86601190</v>
      </c>
      <c r="AB89" s="23">
        <f t="shared" si="63"/>
        <v>0.69606480554003713</v>
      </c>
      <c r="AC89" s="22">
        <f t="shared" si="74"/>
        <v>87123108</v>
      </c>
      <c r="AD89" s="22">
        <f>+'[1]ENERO 2017'!$J$220</f>
        <v>880851</v>
      </c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>
        <f>+'[3]JUNIO 2017'!$Y$562</f>
        <v>37683184</v>
      </c>
      <c r="AT89" s="22"/>
      <c r="AU89" s="22"/>
      <c r="AV89" s="22"/>
      <c r="AW89" s="22">
        <f>+'[5]AGOSTO 2017'!$AC$895</f>
        <v>48559073</v>
      </c>
      <c r="AX89" s="23">
        <f t="shared" si="64"/>
        <v>0.30393519445996287</v>
      </c>
      <c r="AY89" s="22">
        <f t="shared" si="75"/>
        <v>38042117</v>
      </c>
      <c r="AZ89" s="22">
        <f t="shared" si="76"/>
        <v>0</v>
      </c>
      <c r="BA89" s="22">
        <f t="shared" si="76"/>
        <v>0</v>
      </c>
      <c r="BB89" s="22">
        <f t="shared" si="76"/>
        <v>0</v>
      </c>
      <c r="BC89" s="22">
        <f t="shared" si="76"/>
        <v>0</v>
      </c>
      <c r="BD89" s="22">
        <f t="shared" si="76"/>
        <v>0</v>
      </c>
      <c r="BE89" s="22">
        <f t="shared" si="76"/>
        <v>0</v>
      </c>
      <c r="BF89" s="22">
        <f t="shared" si="76"/>
        <v>0</v>
      </c>
      <c r="BG89" s="22">
        <f t="shared" si="76"/>
        <v>0</v>
      </c>
      <c r="BH89" s="22">
        <f t="shared" si="76"/>
        <v>0</v>
      </c>
      <c r="BI89" s="22">
        <f t="shared" si="76"/>
        <v>0</v>
      </c>
      <c r="BJ89" s="22">
        <f t="shared" si="76"/>
        <v>0</v>
      </c>
      <c r="BK89" s="22">
        <f t="shared" si="76"/>
        <v>0</v>
      </c>
      <c r="BL89" s="22">
        <f t="shared" si="76"/>
        <v>0</v>
      </c>
      <c r="BM89" s="22">
        <f t="shared" si="76"/>
        <v>0</v>
      </c>
      <c r="BN89" s="22">
        <f t="shared" si="76"/>
        <v>0</v>
      </c>
      <c r="BO89" s="22">
        <f t="shared" si="76"/>
        <v>0</v>
      </c>
      <c r="BP89" s="22">
        <f t="shared" si="77"/>
        <v>0</v>
      </c>
      <c r="BQ89" s="22">
        <f t="shared" si="77"/>
        <v>0</v>
      </c>
      <c r="BR89" s="22">
        <f t="shared" si="77"/>
        <v>0</v>
      </c>
      <c r="BS89" s="22">
        <f t="shared" si="77"/>
        <v>38042117</v>
      </c>
      <c r="BT89" s="23">
        <f t="shared" si="66"/>
        <v>0.6684714783998511</v>
      </c>
      <c r="BU89" s="22">
        <f t="shared" si="78"/>
        <v>83669383</v>
      </c>
      <c r="BV89" s="22">
        <f>+'[3]JUNIO 2017'!$H$566</f>
        <v>852667</v>
      </c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>
        <f>+'[5]AGOSTO 2017'!$H$896+'[5]AGOSTO 2017'!$H$921</f>
        <v>37602333</v>
      </c>
      <c r="CL89" s="22"/>
      <c r="CM89" s="22"/>
      <c r="CN89" s="22"/>
      <c r="CO89" s="22">
        <f>+'[5]AGOSTO 2017'!$H$893-CK89-BV89</f>
        <v>45214383</v>
      </c>
      <c r="CP89" s="23">
        <f t="shared" si="52"/>
        <v>0.3315285216001489</v>
      </c>
      <c r="CQ89" s="22">
        <f t="shared" si="79"/>
        <v>41495842</v>
      </c>
      <c r="CR89" s="22">
        <f t="shared" si="82"/>
        <v>28184</v>
      </c>
      <c r="CS89" s="22">
        <f t="shared" si="82"/>
        <v>0</v>
      </c>
      <c r="CT89" s="22">
        <f t="shared" si="82"/>
        <v>0</v>
      </c>
      <c r="CU89" s="22">
        <f t="shared" si="82"/>
        <v>0</v>
      </c>
      <c r="CV89" s="22">
        <f t="shared" si="82"/>
        <v>0</v>
      </c>
      <c r="CW89" s="22">
        <f t="shared" si="82"/>
        <v>0</v>
      </c>
      <c r="CX89" s="22">
        <f t="shared" si="82"/>
        <v>0</v>
      </c>
      <c r="CY89" s="22">
        <f t="shared" si="82"/>
        <v>0</v>
      </c>
      <c r="CZ89" s="22">
        <f t="shared" si="82"/>
        <v>0</v>
      </c>
      <c r="DA89" s="22">
        <f t="shared" si="82"/>
        <v>0</v>
      </c>
      <c r="DB89" s="22">
        <f t="shared" si="82"/>
        <v>0</v>
      </c>
      <c r="DC89" s="22">
        <f t="shared" si="82"/>
        <v>0</v>
      </c>
      <c r="DD89" s="22">
        <f t="shared" si="82"/>
        <v>0</v>
      </c>
      <c r="DE89" s="22">
        <f t="shared" si="82"/>
        <v>0</v>
      </c>
      <c r="DF89" s="22">
        <f t="shared" si="82"/>
        <v>0</v>
      </c>
      <c r="DG89" s="22">
        <f t="shared" si="82"/>
        <v>80851</v>
      </c>
      <c r="DH89" s="22">
        <f t="shared" si="80"/>
        <v>0</v>
      </c>
      <c r="DI89" s="22">
        <f t="shared" si="81"/>
        <v>0</v>
      </c>
      <c r="DJ89" s="22">
        <f t="shared" si="81"/>
        <v>0</v>
      </c>
      <c r="DK89" s="22">
        <f t="shared" si="81"/>
        <v>41386807</v>
      </c>
      <c r="DM89" s="26">
        <f t="shared" si="26"/>
        <v>125165225</v>
      </c>
      <c r="DN89" s="26">
        <f t="shared" si="27"/>
        <v>125165225</v>
      </c>
      <c r="DO89" s="26">
        <f t="shared" si="28"/>
        <v>125165225</v>
      </c>
    </row>
    <row r="90" spans="1:119" ht="27.75" customHeight="1" x14ac:dyDescent="0.25">
      <c r="A90" s="203"/>
      <c r="B90" s="191" t="s">
        <v>280</v>
      </c>
      <c r="C90" s="53" t="s">
        <v>281</v>
      </c>
      <c r="D90" s="19" t="s">
        <v>282</v>
      </c>
      <c r="E90" s="20">
        <v>301</v>
      </c>
      <c r="F90" s="21" t="s">
        <v>253</v>
      </c>
      <c r="G90" s="22">
        <f t="shared" si="73"/>
        <v>1459437569</v>
      </c>
      <c r="H90" s="22">
        <f>5000000+6859058</f>
        <v>11859058</v>
      </c>
      <c r="I90" s="22"/>
      <c r="J90" s="22"/>
      <c r="K90" s="22">
        <v>26578511</v>
      </c>
      <c r="L90" s="22"/>
      <c r="M90" s="22"/>
      <c r="N90" s="22"/>
      <c r="O90" s="22"/>
      <c r="P90" s="22"/>
      <c r="Q90" s="22"/>
      <c r="R90" s="22"/>
      <c r="S90" s="22"/>
      <c r="T90" s="22"/>
      <c r="U90" s="22">
        <v>28000000</v>
      </c>
      <c r="V90" s="22"/>
      <c r="W90" s="22">
        <v>1393000000</v>
      </c>
      <c r="X90" s="22"/>
      <c r="Y90" s="22"/>
      <c r="Z90" s="22"/>
      <c r="AA90" s="22"/>
      <c r="AB90" s="23">
        <f t="shared" si="63"/>
        <v>0.9721652279872206</v>
      </c>
      <c r="AC90" s="22">
        <f t="shared" si="74"/>
        <v>1418814457</v>
      </c>
      <c r="AD90" s="22"/>
      <c r="AE90" s="22"/>
      <c r="AF90" s="22"/>
      <c r="AG90" s="22">
        <f>+'[6]JULIO 2017'!$L$772</f>
        <v>18090667</v>
      </c>
      <c r="AH90" s="22"/>
      <c r="AI90" s="22"/>
      <c r="AJ90" s="22"/>
      <c r="AK90" s="22"/>
      <c r="AL90" s="22"/>
      <c r="AM90" s="22"/>
      <c r="AN90" s="22"/>
      <c r="AO90" s="22"/>
      <c r="AP90" s="22"/>
      <c r="AQ90" s="22">
        <f>+'[6]JULIO 2017'!$W$772</f>
        <v>28000000</v>
      </c>
      <c r="AR90" s="22"/>
      <c r="AS90" s="22">
        <f>+'[6]JULIO 2017'!$Y$772</f>
        <v>1372723790</v>
      </c>
      <c r="AT90" s="22"/>
      <c r="AU90" s="22"/>
      <c r="AV90" s="22"/>
      <c r="AW90" s="22"/>
      <c r="AX90" s="23">
        <f t="shared" si="64"/>
        <v>2.7834772012779396E-2</v>
      </c>
      <c r="AY90" s="22">
        <f t="shared" si="75"/>
        <v>40623112</v>
      </c>
      <c r="AZ90" s="22">
        <f t="shared" si="76"/>
        <v>11859058</v>
      </c>
      <c r="BA90" s="22">
        <f t="shared" si="76"/>
        <v>0</v>
      </c>
      <c r="BB90" s="22">
        <f t="shared" si="76"/>
        <v>0</v>
      </c>
      <c r="BC90" s="22">
        <f t="shared" si="76"/>
        <v>8487844</v>
      </c>
      <c r="BD90" s="22">
        <f t="shared" si="76"/>
        <v>0</v>
      </c>
      <c r="BE90" s="22">
        <f t="shared" si="76"/>
        <v>0</v>
      </c>
      <c r="BF90" s="22">
        <f t="shared" si="76"/>
        <v>0</v>
      </c>
      <c r="BG90" s="22">
        <f t="shared" si="76"/>
        <v>0</v>
      </c>
      <c r="BH90" s="22">
        <f t="shared" si="76"/>
        <v>0</v>
      </c>
      <c r="BI90" s="22">
        <f t="shared" si="76"/>
        <v>0</v>
      </c>
      <c r="BJ90" s="22">
        <f t="shared" si="76"/>
        <v>0</v>
      </c>
      <c r="BK90" s="22">
        <f t="shared" si="76"/>
        <v>0</v>
      </c>
      <c r="BL90" s="22">
        <f t="shared" si="76"/>
        <v>0</v>
      </c>
      <c r="BM90" s="22">
        <f t="shared" si="76"/>
        <v>0</v>
      </c>
      <c r="BN90" s="22">
        <f t="shared" si="76"/>
        <v>0</v>
      </c>
      <c r="BO90" s="22">
        <f t="shared" si="76"/>
        <v>20276210</v>
      </c>
      <c r="BP90" s="22">
        <f t="shared" si="77"/>
        <v>0</v>
      </c>
      <c r="BQ90" s="22">
        <f t="shared" si="77"/>
        <v>0</v>
      </c>
      <c r="BR90" s="22">
        <f t="shared" si="77"/>
        <v>0</v>
      </c>
      <c r="BS90" s="22">
        <f t="shared" si="77"/>
        <v>0</v>
      </c>
      <c r="BT90" s="23">
        <f t="shared" si="66"/>
        <v>0.95297975503877141</v>
      </c>
      <c r="BU90" s="22">
        <f t="shared" si="78"/>
        <v>1390814457</v>
      </c>
      <c r="BV90" s="22"/>
      <c r="BW90" s="22"/>
      <c r="BX90" s="22"/>
      <c r="BY90" s="22">
        <f>+'[6]JULIO 2017'!$H$780</f>
        <v>18090667</v>
      </c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>
        <f>+'[6]JULIO 2017'!$H$773+'[6]JULIO 2017'!$H$776+'[6]JULIO 2017'!$H$778</f>
        <v>1372723790</v>
      </c>
      <c r="CL90" s="22"/>
      <c r="CM90" s="22"/>
      <c r="CN90" s="22"/>
      <c r="CO90" s="22"/>
      <c r="CP90" s="23">
        <f t="shared" si="52"/>
        <v>4.7020244961228586E-2</v>
      </c>
      <c r="CQ90" s="22">
        <f t="shared" si="79"/>
        <v>68623112</v>
      </c>
      <c r="CR90" s="22">
        <f t="shared" si="82"/>
        <v>11859058</v>
      </c>
      <c r="CS90" s="22">
        <f t="shared" si="82"/>
        <v>0</v>
      </c>
      <c r="CT90" s="22">
        <f t="shared" si="82"/>
        <v>0</v>
      </c>
      <c r="CU90" s="22">
        <f t="shared" si="82"/>
        <v>8487844</v>
      </c>
      <c r="CV90" s="22">
        <f t="shared" si="82"/>
        <v>0</v>
      </c>
      <c r="CW90" s="22">
        <f t="shared" si="82"/>
        <v>0</v>
      </c>
      <c r="CX90" s="22">
        <f t="shared" si="82"/>
        <v>0</v>
      </c>
      <c r="CY90" s="22">
        <f t="shared" si="82"/>
        <v>0</v>
      </c>
      <c r="CZ90" s="22">
        <f t="shared" si="82"/>
        <v>0</v>
      </c>
      <c r="DA90" s="22">
        <f t="shared" si="82"/>
        <v>0</v>
      </c>
      <c r="DB90" s="22">
        <f t="shared" si="82"/>
        <v>0</v>
      </c>
      <c r="DC90" s="22">
        <f t="shared" si="82"/>
        <v>0</v>
      </c>
      <c r="DD90" s="22">
        <f t="shared" si="82"/>
        <v>0</v>
      </c>
      <c r="DE90" s="22">
        <f t="shared" si="82"/>
        <v>28000000</v>
      </c>
      <c r="DF90" s="22">
        <f t="shared" si="82"/>
        <v>0</v>
      </c>
      <c r="DG90" s="22">
        <f t="shared" si="82"/>
        <v>20276210</v>
      </c>
      <c r="DH90" s="22">
        <f t="shared" si="80"/>
        <v>0</v>
      </c>
      <c r="DI90" s="22">
        <f t="shared" si="81"/>
        <v>0</v>
      </c>
      <c r="DJ90" s="22">
        <f t="shared" si="81"/>
        <v>0</v>
      </c>
      <c r="DK90" s="22">
        <f t="shared" si="81"/>
        <v>0</v>
      </c>
      <c r="DM90" s="26">
        <f t="shared" si="26"/>
        <v>1459437569</v>
      </c>
      <c r="DN90" s="26">
        <f t="shared" si="27"/>
        <v>1459437569</v>
      </c>
      <c r="DO90" s="26">
        <f t="shared" si="28"/>
        <v>1459437569</v>
      </c>
    </row>
    <row r="91" spans="1:119" ht="28.5" customHeight="1" x14ac:dyDescent="0.25">
      <c r="A91" s="203"/>
      <c r="B91" s="189"/>
      <c r="C91" s="53" t="s">
        <v>283</v>
      </c>
      <c r="D91" s="19" t="s">
        <v>284</v>
      </c>
      <c r="E91" s="20">
        <v>301</v>
      </c>
      <c r="F91" s="21" t="s">
        <v>253</v>
      </c>
      <c r="G91" s="22">
        <f t="shared" si="73"/>
        <v>53000000</v>
      </c>
      <c r="H91" s="22"/>
      <c r="I91" s="22">
        <v>30000000</v>
      </c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>
        <v>23000000</v>
      </c>
      <c r="V91" s="22"/>
      <c r="W91" s="22"/>
      <c r="X91" s="22"/>
      <c r="Y91" s="22"/>
      <c r="Z91" s="22"/>
      <c r="AA91" s="22"/>
      <c r="AB91" s="23">
        <f t="shared" si="63"/>
        <v>0.99284666037735847</v>
      </c>
      <c r="AC91" s="22">
        <f t="shared" si="74"/>
        <v>52620873</v>
      </c>
      <c r="AD91" s="22"/>
      <c r="AE91" s="22">
        <f>+'[6]JULIO 2017'!$K$786</f>
        <v>29620873</v>
      </c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>
        <f>+'[6]JULIO 2017'!$W$786</f>
        <v>23000000</v>
      </c>
      <c r="AR91" s="22"/>
      <c r="AS91" s="22"/>
      <c r="AT91" s="22"/>
      <c r="AU91" s="22"/>
      <c r="AV91" s="22"/>
      <c r="AW91" s="22"/>
      <c r="AX91" s="23">
        <f t="shared" si="64"/>
        <v>7.1533396226415302E-3</v>
      </c>
      <c r="AY91" s="22">
        <f t="shared" si="75"/>
        <v>379127</v>
      </c>
      <c r="AZ91" s="22">
        <f t="shared" si="76"/>
        <v>0</v>
      </c>
      <c r="BA91" s="22">
        <f t="shared" si="76"/>
        <v>379127</v>
      </c>
      <c r="BB91" s="22">
        <f t="shared" si="76"/>
        <v>0</v>
      </c>
      <c r="BC91" s="22">
        <f t="shared" si="76"/>
        <v>0</v>
      </c>
      <c r="BD91" s="22">
        <f t="shared" si="76"/>
        <v>0</v>
      </c>
      <c r="BE91" s="22">
        <f t="shared" si="76"/>
        <v>0</v>
      </c>
      <c r="BF91" s="22">
        <f t="shared" si="76"/>
        <v>0</v>
      </c>
      <c r="BG91" s="22">
        <f t="shared" si="76"/>
        <v>0</v>
      </c>
      <c r="BH91" s="22">
        <f t="shared" si="76"/>
        <v>0</v>
      </c>
      <c r="BI91" s="22">
        <f t="shared" si="76"/>
        <v>0</v>
      </c>
      <c r="BJ91" s="22">
        <f t="shared" si="76"/>
        <v>0</v>
      </c>
      <c r="BK91" s="22">
        <f t="shared" si="76"/>
        <v>0</v>
      </c>
      <c r="BL91" s="22">
        <f t="shared" si="76"/>
        <v>0</v>
      </c>
      <c r="BM91" s="22">
        <f t="shared" si="76"/>
        <v>0</v>
      </c>
      <c r="BN91" s="22">
        <f t="shared" si="76"/>
        <v>0</v>
      </c>
      <c r="BO91" s="22">
        <f t="shared" si="76"/>
        <v>0</v>
      </c>
      <c r="BP91" s="22">
        <f t="shared" si="77"/>
        <v>0</v>
      </c>
      <c r="BQ91" s="22">
        <f t="shared" si="77"/>
        <v>0</v>
      </c>
      <c r="BR91" s="22">
        <f t="shared" si="77"/>
        <v>0</v>
      </c>
      <c r="BS91" s="22">
        <f t="shared" si="77"/>
        <v>0</v>
      </c>
      <c r="BT91" s="23">
        <f t="shared" si="66"/>
        <v>0.96505088679245288</v>
      </c>
      <c r="BU91" s="22">
        <f t="shared" si="78"/>
        <v>51147697</v>
      </c>
      <c r="BV91" s="22"/>
      <c r="BW91" s="22">
        <f>+'[6]JULIO 2017'!$H$787</f>
        <v>29595981</v>
      </c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>
        <f>+'[5]AGOSTO 2017'!$H$951</f>
        <v>21551716</v>
      </c>
      <c r="CJ91" s="22"/>
      <c r="CK91" s="22"/>
      <c r="CL91" s="22"/>
      <c r="CM91" s="22"/>
      <c r="CN91" s="22"/>
      <c r="CO91" s="22"/>
      <c r="CP91" s="23">
        <f t="shared" si="52"/>
        <v>3.4949113207547122E-2</v>
      </c>
      <c r="CQ91" s="22">
        <f t="shared" si="79"/>
        <v>1852303</v>
      </c>
      <c r="CR91" s="22">
        <f t="shared" si="82"/>
        <v>0</v>
      </c>
      <c r="CS91" s="22">
        <f t="shared" si="82"/>
        <v>404019</v>
      </c>
      <c r="CT91" s="22">
        <f t="shared" si="82"/>
        <v>0</v>
      </c>
      <c r="CU91" s="22">
        <f t="shared" si="82"/>
        <v>0</v>
      </c>
      <c r="CV91" s="22">
        <f t="shared" si="82"/>
        <v>0</v>
      </c>
      <c r="CW91" s="22">
        <f t="shared" si="82"/>
        <v>0</v>
      </c>
      <c r="CX91" s="22">
        <f t="shared" si="82"/>
        <v>0</v>
      </c>
      <c r="CY91" s="22">
        <f t="shared" si="82"/>
        <v>0</v>
      </c>
      <c r="CZ91" s="22">
        <f t="shared" si="82"/>
        <v>0</v>
      </c>
      <c r="DA91" s="22">
        <f t="shared" si="82"/>
        <v>0</v>
      </c>
      <c r="DB91" s="22">
        <f t="shared" si="82"/>
        <v>0</v>
      </c>
      <c r="DC91" s="22">
        <f t="shared" si="82"/>
        <v>0</v>
      </c>
      <c r="DD91" s="22">
        <f t="shared" si="82"/>
        <v>0</v>
      </c>
      <c r="DE91" s="22">
        <f t="shared" si="82"/>
        <v>1448284</v>
      </c>
      <c r="DF91" s="22">
        <f t="shared" si="82"/>
        <v>0</v>
      </c>
      <c r="DG91" s="22">
        <f t="shared" si="82"/>
        <v>0</v>
      </c>
      <c r="DH91" s="22">
        <f t="shared" si="80"/>
        <v>0</v>
      </c>
      <c r="DI91" s="22">
        <f t="shared" si="81"/>
        <v>0</v>
      </c>
      <c r="DJ91" s="22">
        <f t="shared" si="81"/>
        <v>0</v>
      </c>
      <c r="DK91" s="22">
        <f t="shared" si="81"/>
        <v>0</v>
      </c>
      <c r="DM91" s="26">
        <f t="shared" si="26"/>
        <v>53000000</v>
      </c>
      <c r="DN91" s="26">
        <f t="shared" si="27"/>
        <v>53000000</v>
      </c>
      <c r="DO91" s="26">
        <f t="shared" si="28"/>
        <v>53000000</v>
      </c>
    </row>
    <row r="92" spans="1:119" ht="24" x14ac:dyDescent="0.25">
      <c r="A92" s="203"/>
      <c r="B92" s="190"/>
      <c r="C92" s="53" t="s">
        <v>285</v>
      </c>
      <c r="D92" s="19" t="s">
        <v>286</v>
      </c>
      <c r="E92" s="82">
        <v>301</v>
      </c>
      <c r="F92" s="21" t="s">
        <v>287</v>
      </c>
      <c r="G92" s="22">
        <f t="shared" si="73"/>
        <v>87213154</v>
      </c>
      <c r="H92" s="22"/>
      <c r="I92" s="22">
        <v>84000000</v>
      </c>
      <c r="J92" s="22"/>
      <c r="K92" s="22"/>
      <c r="L92" s="22"/>
      <c r="M92" s="22"/>
      <c r="N92" s="22"/>
      <c r="O92" s="22"/>
      <c r="P92" s="22"/>
      <c r="Q92" s="22"/>
      <c r="R92" s="22"/>
      <c r="S92" s="22">
        <v>2213154</v>
      </c>
      <c r="T92" s="22"/>
      <c r="U92" s="22"/>
      <c r="V92" s="22"/>
      <c r="W92" s="22"/>
      <c r="X92" s="22"/>
      <c r="Y92" s="22"/>
      <c r="Z92" s="22"/>
      <c r="AA92" s="22">
        <f>1000000</f>
        <v>1000000</v>
      </c>
      <c r="AB92" s="23">
        <f t="shared" si="63"/>
        <v>0.96315746131598456</v>
      </c>
      <c r="AC92" s="22">
        <f t="shared" si="74"/>
        <v>84000000</v>
      </c>
      <c r="AD92" s="22"/>
      <c r="AE92" s="22">
        <f>+'[1]ENERO 2017'!$K$244</f>
        <v>84000000</v>
      </c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3">
        <f t="shared" si="64"/>
        <v>3.6842538684015436E-2</v>
      </c>
      <c r="AY92" s="22">
        <f t="shared" si="75"/>
        <v>3213154</v>
      </c>
      <c r="AZ92" s="22">
        <f t="shared" si="76"/>
        <v>0</v>
      </c>
      <c r="BA92" s="22">
        <f t="shared" si="76"/>
        <v>0</v>
      </c>
      <c r="BB92" s="22">
        <f t="shared" si="76"/>
        <v>0</v>
      </c>
      <c r="BC92" s="22">
        <f t="shared" si="76"/>
        <v>0</v>
      </c>
      <c r="BD92" s="22">
        <f t="shared" si="76"/>
        <v>0</v>
      </c>
      <c r="BE92" s="22">
        <f t="shared" si="76"/>
        <v>0</v>
      </c>
      <c r="BF92" s="22">
        <f t="shared" si="76"/>
        <v>0</v>
      </c>
      <c r="BG92" s="22">
        <f t="shared" si="76"/>
        <v>0</v>
      </c>
      <c r="BH92" s="22">
        <f t="shared" si="76"/>
        <v>0</v>
      </c>
      <c r="BI92" s="22">
        <f t="shared" si="76"/>
        <v>0</v>
      </c>
      <c r="BJ92" s="22">
        <f t="shared" si="76"/>
        <v>0</v>
      </c>
      <c r="BK92" s="22">
        <f t="shared" si="76"/>
        <v>2213154</v>
      </c>
      <c r="BL92" s="22">
        <f t="shared" si="76"/>
        <v>0</v>
      </c>
      <c r="BM92" s="22">
        <f t="shared" si="76"/>
        <v>0</v>
      </c>
      <c r="BN92" s="22">
        <f t="shared" si="76"/>
        <v>0</v>
      </c>
      <c r="BO92" s="22">
        <f t="shared" si="76"/>
        <v>0</v>
      </c>
      <c r="BP92" s="22">
        <f t="shared" si="77"/>
        <v>0</v>
      </c>
      <c r="BQ92" s="22">
        <f t="shared" si="77"/>
        <v>0</v>
      </c>
      <c r="BR92" s="22">
        <f t="shared" si="77"/>
        <v>0</v>
      </c>
      <c r="BS92" s="22">
        <f t="shared" si="77"/>
        <v>1000000</v>
      </c>
      <c r="BT92" s="23">
        <f t="shared" si="66"/>
        <v>0.95048518713128982</v>
      </c>
      <c r="BU92" s="22">
        <f t="shared" si="78"/>
        <v>82894811</v>
      </c>
      <c r="BV92" s="22"/>
      <c r="BW92" s="22">
        <f>+'[5]AGOSTO 2017'!$H$957</f>
        <v>82894811</v>
      </c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3">
        <f t="shared" si="52"/>
        <v>4.9514812868710179E-2</v>
      </c>
      <c r="CQ92" s="22">
        <f t="shared" si="79"/>
        <v>4318343</v>
      </c>
      <c r="CR92" s="22">
        <f t="shared" si="82"/>
        <v>0</v>
      </c>
      <c r="CS92" s="22">
        <f t="shared" si="82"/>
        <v>1105189</v>
      </c>
      <c r="CT92" s="22">
        <f t="shared" si="82"/>
        <v>0</v>
      </c>
      <c r="CU92" s="22">
        <f t="shared" si="82"/>
        <v>0</v>
      </c>
      <c r="CV92" s="22">
        <f t="shared" si="82"/>
        <v>0</v>
      </c>
      <c r="CW92" s="22">
        <f t="shared" si="82"/>
        <v>0</v>
      </c>
      <c r="CX92" s="22">
        <f t="shared" si="82"/>
        <v>0</v>
      </c>
      <c r="CY92" s="22">
        <f t="shared" si="82"/>
        <v>0</v>
      </c>
      <c r="CZ92" s="22">
        <f t="shared" si="82"/>
        <v>0</v>
      </c>
      <c r="DA92" s="22">
        <f t="shared" si="82"/>
        <v>0</v>
      </c>
      <c r="DB92" s="22">
        <f t="shared" si="82"/>
        <v>0</v>
      </c>
      <c r="DC92" s="22">
        <f t="shared" si="82"/>
        <v>2213154</v>
      </c>
      <c r="DD92" s="22">
        <f t="shared" si="82"/>
        <v>0</v>
      </c>
      <c r="DE92" s="22">
        <f t="shared" si="82"/>
        <v>0</v>
      </c>
      <c r="DF92" s="22">
        <f t="shared" si="82"/>
        <v>0</v>
      </c>
      <c r="DG92" s="22">
        <f t="shared" si="82"/>
        <v>0</v>
      </c>
      <c r="DH92" s="22">
        <f t="shared" si="80"/>
        <v>0</v>
      </c>
      <c r="DI92" s="22">
        <f t="shared" si="81"/>
        <v>0</v>
      </c>
      <c r="DJ92" s="22">
        <f t="shared" si="81"/>
        <v>0</v>
      </c>
      <c r="DK92" s="22">
        <f t="shared" si="81"/>
        <v>1000000</v>
      </c>
      <c r="DM92" s="26">
        <f t="shared" ref="DM92:DM114" si="83">+G92</f>
        <v>87213154</v>
      </c>
      <c r="DN92" s="26">
        <f t="shared" ref="DN92:DN114" si="84">+AC92+AY92</f>
        <v>87213154</v>
      </c>
      <c r="DO92" s="26">
        <f t="shared" ref="DO92:DO114" si="85">+BU92+CQ92</f>
        <v>87213154</v>
      </c>
    </row>
    <row r="93" spans="1:119" ht="24.95" customHeight="1" x14ac:dyDescent="0.25">
      <c r="A93" s="203"/>
      <c r="B93" s="59" t="s">
        <v>288</v>
      </c>
      <c r="C93" s="53" t="s">
        <v>289</v>
      </c>
      <c r="D93" s="19" t="s">
        <v>290</v>
      </c>
      <c r="E93" s="82">
        <v>301</v>
      </c>
      <c r="F93" s="21" t="s">
        <v>253</v>
      </c>
      <c r="G93" s="22">
        <f t="shared" si="73"/>
        <v>50000000</v>
      </c>
      <c r="H93" s="22"/>
      <c r="I93" s="22"/>
      <c r="J93" s="22">
        <v>50000000</v>
      </c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3">
        <f t="shared" si="63"/>
        <v>1</v>
      </c>
      <c r="AC93" s="22">
        <f t="shared" si="74"/>
        <v>50000000</v>
      </c>
      <c r="AD93" s="22"/>
      <c r="AE93" s="22"/>
      <c r="AF93" s="22">
        <f>+'[1]ENERO 2017'!$L$252</f>
        <v>50000000</v>
      </c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3">
        <f t="shared" si="64"/>
        <v>0</v>
      </c>
      <c r="AY93" s="22">
        <f t="shared" si="75"/>
        <v>0</v>
      </c>
      <c r="AZ93" s="22">
        <f t="shared" si="76"/>
        <v>0</v>
      </c>
      <c r="BA93" s="22">
        <f t="shared" si="76"/>
        <v>0</v>
      </c>
      <c r="BB93" s="22">
        <f t="shared" si="76"/>
        <v>0</v>
      </c>
      <c r="BC93" s="22">
        <f t="shared" si="76"/>
        <v>0</v>
      </c>
      <c r="BD93" s="22">
        <f t="shared" si="76"/>
        <v>0</v>
      </c>
      <c r="BE93" s="22">
        <f t="shared" si="76"/>
        <v>0</v>
      </c>
      <c r="BF93" s="22">
        <f t="shared" si="76"/>
        <v>0</v>
      </c>
      <c r="BG93" s="22">
        <f t="shared" si="76"/>
        <v>0</v>
      </c>
      <c r="BH93" s="22">
        <f t="shared" si="76"/>
        <v>0</v>
      </c>
      <c r="BI93" s="22">
        <f t="shared" si="76"/>
        <v>0</v>
      </c>
      <c r="BJ93" s="22">
        <f t="shared" si="76"/>
        <v>0</v>
      </c>
      <c r="BK93" s="22">
        <f t="shared" si="76"/>
        <v>0</v>
      </c>
      <c r="BL93" s="22">
        <f t="shared" si="76"/>
        <v>0</v>
      </c>
      <c r="BM93" s="22">
        <f t="shared" si="76"/>
        <v>0</v>
      </c>
      <c r="BN93" s="22">
        <f t="shared" si="76"/>
        <v>0</v>
      </c>
      <c r="BO93" s="22">
        <f t="shared" si="77"/>
        <v>0</v>
      </c>
      <c r="BP93" s="22">
        <f t="shared" si="77"/>
        <v>0</v>
      </c>
      <c r="BQ93" s="22">
        <f t="shared" si="77"/>
        <v>0</v>
      </c>
      <c r="BR93" s="22">
        <f t="shared" si="77"/>
        <v>0</v>
      </c>
      <c r="BS93" s="22">
        <f t="shared" si="77"/>
        <v>0</v>
      </c>
      <c r="BT93" s="23">
        <f t="shared" si="66"/>
        <v>0.74447306000000002</v>
      </c>
      <c r="BU93" s="22">
        <f t="shared" si="78"/>
        <v>37223653</v>
      </c>
      <c r="BV93" s="22"/>
      <c r="BW93" s="22"/>
      <c r="BX93" s="22">
        <f>+'[5]AGOSTO 2017'!$H$989</f>
        <v>37223653</v>
      </c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3">
        <f t="shared" si="52"/>
        <v>0.25552693999999998</v>
      </c>
      <c r="CQ93" s="22">
        <f t="shared" si="79"/>
        <v>12776347</v>
      </c>
      <c r="CR93" s="22">
        <f t="shared" si="82"/>
        <v>0</v>
      </c>
      <c r="CS93" s="22">
        <f t="shared" si="82"/>
        <v>0</v>
      </c>
      <c r="CT93" s="22">
        <f t="shared" si="82"/>
        <v>12776347</v>
      </c>
      <c r="CU93" s="22">
        <f t="shared" si="82"/>
        <v>0</v>
      </c>
      <c r="CV93" s="22">
        <f t="shared" si="82"/>
        <v>0</v>
      </c>
      <c r="CW93" s="22">
        <f t="shared" si="82"/>
        <v>0</v>
      </c>
      <c r="CX93" s="22">
        <f t="shared" si="82"/>
        <v>0</v>
      </c>
      <c r="CY93" s="22">
        <f t="shared" si="82"/>
        <v>0</v>
      </c>
      <c r="CZ93" s="22">
        <f t="shared" si="82"/>
        <v>0</v>
      </c>
      <c r="DA93" s="22">
        <f t="shared" si="82"/>
        <v>0</v>
      </c>
      <c r="DB93" s="22">
        <f t="shared" si="82"/>
        <v>0</v>
      </c>
      <c r="DC93" s="22">
        <f t="shared" si="82"/>
        <v>0</v>
      </c>
      <c r="DD93" s="22">
        <f t="shared" si="82"/>
        <v>0</v>
      </c>
      <c r="DE93" s="22">
        <f t="shared" si="82"/>
        <v>0</v>
      </c>
      <c r="DF93" s="22">
        <f t="shared" si="82"/>
        <v>0</v>
      </c>
      <c r="DG93" s="22">
        <f t="shared" si="82"/>
        <v>0</v>
      </c>
      <c r="DH93" s="22">
        <f t="shared" si="80"/>
        <v>0</v>
      </c>
      <c r="DI93" s="22">
        <f t="shared" si="81"/>
        <v>0</v>
      </c>
      <c r="DJ93" s="22">
        <f t="shared" si="81"/>
        <v>0</v>
      </c>
      <c r="DK93" s="22">
        <f t="shared" si="81"/>
        <v>0</v>
      </c>
      <c r="DM93" s="26">
        <f t="shared" si="83"/>
        <v>50000000</v>
      </c>
      <c r="DN93" s="26">
        <f t="shared" si="84"/>
        <v>50000000</v>
      </c>
      <c r="DO93" s="26">
        <f t="shared" si="85"/>
        <v>50000000</v>
      </c>
    </row>
    <row r="94" spans="1:119" s="47" customFormat="1" ht="21" customHeight="1" thickBot="1" x14ac:dyDescent="0.3">
      <c r="A94" s="79"/>
      <c r="B94" s="204" t="s">
        <v>291</v>
      </c>
      <c r="C94" s="205"/>
      <c r="D94" s="205"/>
      <c r="E94" s="205"/>
      <c r="F94" s="206"/>
      <c r="G94" s="62">
        <f t="shared" ref="G94:AA94" si="86">SUM(G80:G93)</f>
        <v>3178839833</v>
      </c>
      <c r="H94" s="62">
        <f t="shared" si="86"/>
        <v>277739909</v>
      </c>
      <c r="I94" s="62">
        <f t="shared" si="86"/>
        <v>714000000</v>
      </c>
      <c r="J94" s="62">
        <f t="shared" si="86"/>
        <v>50000000</v>
      </c>
      <c r="K94" s="62">
        <f t="shared" si="86"/>
        <v>26578511</v>
      </c>
      <c r="L94" s="62">
        <f t="shared" si="86"/>
        <v>0</v>
      </c>
      <c r="M94" s="62">
        <f t="shared" si="86"/>
        <v>0</v>
      </c>
      <c r="N94" s="62">
        <f t="shared" si="86"/>
        <v>0</v>
      </c>
      <c r="O94" s="62">
        <f t="shared" si="86"/>
        <v>0</v>
      </c>
      <c r="P94" s="62">
        <f t="shared" si="86"/>
        <v>0</v>
      </c>
      <c r="Q94" s="62">
        <f t="shared" si="86"/>
        <v>0</v>
      </c>
      <c r="R94" s="62">
        <f t="shared" si="86"/>
        <v>0</v>
      </c>
      <c r="S94" s="62">
        <f t="shared" si="86"/>
        <v>2213154</v>
      </c>
      <c r="T94" s="62">
        <f t="shared" si="86"/>
        <v>230450000</v>
      </c>
      <c r="U94" s="62">
        <f t="shared" si="86"/>
        <v>118000000</v>
      </c>
      <c r="V94" s="62">
        <f t="shared" si="86"/>
        <v>80000000</v>
      </c>
      <c r="W94" s="62">
        <f t="shared" si="86"/>
        <v>1570638184</v>
      </c>
      <c r="X94" s="62">
        <f t="shared" si="86"/>
        <v>0</v>
      </c>
      <c r="Y94" s="62">
        <f t="shared" si="86"/>
        <v>0</v>
      </c>
      <c r="Z94" s="62">
        <f t="shared" si="86"/>
        <v>0</v>
      </c>
      <c r="AA94" s="62">
        <f t="shared" si="86"/>
        <v>109220075</v>
      </c>
      <c r="AB94" s="44">
        <f t="shared" si="63"/>
        <v>0.94883593306224934</v>
      </c>
      <c r="AC94" s="62">
        <f t="shared" ref="AC94:AW94" si="87">SUM(AC80:AC93)</f>
        <v>3016197459</v>
      </c>
      <c r="AD94" s="62">
        <f t="shared" si="87"/>
        <v>261659011</v>
      </c>
      <c r="AE94" s="62">
        <f t="shared" si="87"/>
        <v>713620873</v>
      </c>
      <c r="AF94" s="62">
        <f t="shared" si="87"/>
        <v>50000000</v>
      </c>
      <c r="AG94" s="62">
        <f t="shared" si="87"/>
        <v>18090667</v>
      </c>
      <c r="AH94" s="62">
        <f t="shared" si="87"/>
        <v>0</v>
      </c>
      <c r="AI94" s="62">
        <f t="shared" si="87"/>
        <v>0</v>
      </c>
      <c r="AJ94" s="62">
        <f t="shared" si="87"/>
        <v>0</v>
      </c>
      <c r="AK94" s="62">
        <f t="shared" si="87"/>
        <v>0</v>
      </c>
      <c r="AL94" s="62">
        <f t="shared" si="87"/>
        <v>0</v>
      </c>
      <c r="AM94" s="62">
        <f t="shared" si="87"/>
        <v>0</v>
      </c>
      <c r="AN94" s="62">
        <f t="shared" si="87"/>
        <v>0</v>
      </c>
      <c r="AO94" s="62">
        <f t="shared" si="87"/>
        <v>0</v>
      </c>
      <c r="AP94" s="62">
        <f t="shared" si="87"/>
        <v>175958012</v>
      </c>
      <c r="AQ94" s="62">
        <f t="shared" si="87"/>
        <v>118000000</v>
      </c>
      <c r="AR94" s="62">
        <f t="shared" si="87"/>
        <v>80000000</v>
      </c>
      <c r="AS94" s="62">
        <f t="shared" si="87"/>
        <v>1539781663</v>
      </c>
      <c r="AT94" s="62">
        <f t="shared" si="87"/>
        <v>0</v>
      </c>
      <c r="AU94" s="62">
        <f t="shared" si="87"/>
        <v>0</v>
      </c>
      <c r="AV94" s="62">
        <f t="shared" si="87"/>
        <v>0</v>
      </c>
      <c r="AW94" s="62">
        <f t="shared" si="87"/>
        <v>59087233</v>
      </c>
      <c r="AX94" s="44">
        <f t="shared" si="64"/>
        <v>5.1164066937750663E-2</v>
      </c>
      <c r="AY94" s="62">
        <f t="shared" ref="AY94:BS94" si="88">SUM(AY80:AY93)</f>
        <v>162642374</v>
      </c>
      <c r="AZ94" s="62">
        <f t="shared" si="88"/>
        <v>16080898</v>
      </c>
      <c r="BA94" s="62">
        <f t="shared" si="88"/>
        <v>379127</v>
      </c>
      <c r="BB94" s="62">
        <f t="shared" si="88"/>
        <v>0</v>
      </c>
      <c r="BC94" s="62">
        <f t="shared" si="88"/>
        <v>8487844</v>
      </c>
      <c r="BD94" s="62">
        <f t="shared" si="88"/>
        <v>0</v>
      </c>
      <c r="BE94" s="62">
        <f t="shared" si="88"/>
        <v>0</v>
      </c>
      <c r="BF94" s="62">
        <f t="shared" si="88"/>
        <v>0</v>
      </c>
      <c r="BG94" s="62">
        <f t="shared" si="88"/>
        <v>0</v>
      </c>
      <c r="BH94" s="62">
        <f t="shared" si="88"/>
        <v>0</v>
      </c>
      <c r="BI94" s="62">
        <f t="shared" si="88"/>
        <v>0</v>
      </c>
      <c r="BJ94" s="62">
        <f t="shared" si="88"/>
        <v>0</v>
      </c>
      <c r="BK94" s="62">
        <f t="shared" si="88"/>
        <v>2213154</v>
      </c>
      <c r="BL94" s="62">
        <f t="shared" si="88"/>
        <v>54491988</v>
      </c>
      <c r="BM94" s="62">
        <f t="shared" si="88"/>
        <v>0</v>
      </c>
      <c r="BN94" s="62">
        <f t="shared" si="88"/>
        <v>0</v>
      </c>
      <c r="BO94" s="62">
        <f t="shared" si="88"/>
        <v>30856521</v>
      </c>
      <c r="BP94" s="62">
        <f t="shared" si="88"/>
        <v>0</v>
      </c>
      <c r="BQ94" s="62">
        <f t="shared" si="88"/>
        <v>0</v>
      </c>
      <c r="BR94" s="62">
        <f t="shared" si="88"/>
        <v>0</v>
      </c>
      <c r="BS94" s="62">
        <f t="shared" si="88"/>
        <v>50132842</v>
      </c>
      <c r="BT94" s="44">
        <f t="shared" si="66"/>
        <v>0.89375412076636074</v>
      </c>
      <c r="BU94" s="62">
        <f t="shared" ref="BU94:CO94" si="89">SUM(BU80:BU93)</f>
        <v>2841101200</v>
      </c>
      <c r="BV94" s="62">
        <f t="shared" si="89"/>
        <v>236554614</v>
      </c>
      <c r="BW94" s="62">
        <f t="shared" si="89"/>
        <v>711139881</v>
      </c>
      <c r="BX94" s="62">
        <f t="shared" si="89"/>
        <v>37223653</v>
      </c>
      <c r="BY94" s="62">
        <f t="shared" si="89"/>
        <v>18090667</v>
      </c>
      <c r="BZ94" s="62">
        <f t="shared" si="89"/>
        <v>0</v>
      </c>
      <c r="CA94" s="62">
        <f t="shared" si="89"/>
        <v>0</v>
      </c>
      <c r="CB94" s="62">
        <f t="shared" si="89"/>
        <v>0</v>
      </c>
      <c r="CC94" s="62">
        <f t="shared" si="89"/>
        <v>0</v>
      </c>
      <c r="CD94" s="62">
        <f t="shared" si="89"/>
        <v>0</v>
      </c>
      <c r="CE94" s="62">
        <f t="shared" si="89"/>
        <v>0</v>
      </c>
      <c r="CF94" s="62">
        <f t="shared" si="89"/>
        <v>0</v>
      </c>
      <c r="CG94" s="62">
        <f t="shared" si="89"/>
        <v>0</v>
      </c>
      <c r="CH94" s="62">
        <f t="shared" si="89"/>
        <v>171014753</v>
      </c>
      <c r="CI94" s="62">
        <f t="shared" si="89"/>
        <v>70634317</v>
      </c>
      <c r="CJ94" s="62">
        <f t="shared" si="89"/>
        <v>3000000</v>
      </c>
      <c r="CK94" s="62">
        <f t="shared" si="89"/>
        <v>1539700812</v>
      </c>
      <c r="CL94" s="62">
        <f t="shared" si="89"/>
        <v>0</v>
      </c>
      <c r="CM94" s="62">
        <f t="shared" si="89"/>
        <v>0</v>
      </c>
      <c r="CN94" s="62">
        <f t="shared" si="89"/>
        <v>0</v>
      </c>
      <c r="CO94" s="62">
        <f t="shared" si="89"/>
        <v>53742503</v>
      </c>
      <c r="CP94" s="44">
        <f t="shared" si="52"/>
        <v>0.10624587923363926</v>
      </c>
      <c r="CQ94" s="62">
        <f t="shared" ref="CQ94:DK94" si="90">SUM(CQ80:CQ93)</f>
        <v>337738633</v>
      </c>
      <c r="CR94" s="62">
        <f t="shared" si="90"/>
        <v>41185295</v>
      </c>
      <c r="CS94" s="62">
        <f t="shared" si="90"/>
        <v>2860119</v>
      </c>
      <c r="CT94" s="62">
        <f t="shared" si="90"/>
        <v>12776347</v>
      </c>
      <c r="CU94" s="62">
        <f t="shared" si="90"/>
        <v>8487844</v>
      </c>
      <c r="CV94" s="62">
        <f t="shared" si="90"/>
        <v>0</v>
      </c>
      <c r="CW94" s="62">
        <f t="shared" si="90"/>
        <v>0</v>
      </c>
      <c r="CX94" s="62">
        <f t="shared" si="90"/>
        <v>0</v>
      </c>
      <c r="CY94" s="62">
        <f t="shared" si="90"/>
        <v>0</v>
      </c>
      <c r="CZ94" s="62">
        <f t="shared" si="90"/>
        <v>0</v>
      </c>
      <c r="DA94" s="62">
        <f t="shared" si="90"/>
        <v>0</v>
      </c>
      <c r="DB94" s="62">
        <f t="shared" si="90"/>
        <v>0</v>
      </c>
      <c r="DC94" s="62">
        <f t="shared" si="90"/>
        <v>2213154</v>
      </c>
      <c r="DD94" s="62">
        <f t="shared" si="90"/>
        <v>59435247</v>
      </c>
      <c r="DE94" s="62">
        <f t="shared" si="90"/>
        <v>47365683</v>
      </c>
      <c r="DF94" s="62">
        <f t="shared" si="90"/>
        <v>77000000</v>
      </c>
      <c r="DG94" s="62">
        <f t="shared" si="90"/>
        <v>30937372</v>
      </c>
      <c r="DH94" s="62">
        <f t="shared" si="90"/>
        <v>0</v>
      </c>
      <c r="DI94" s="62">
        <f t="shared" si="90"/>
        <v>0</v>
      </c>
      <c r="DJ94" s="62">
        <f t="shared" si="90"/>
        <v>0</v>
      </c>
      <c r="DK94" s="62">
        <f t="shared" si="90"/>
        <v>55477572</v>
      </c>
      <c r="DM94" s="26">
        <f t="shared" si="83"/>
        <v>3178839833</v>
      </c>
      <c r="DN94" s="26">
        <f t="shared" si="84"/>
        <v>3178839833</v>
      </c>
      <c r="DO94" s="26">
        <f t="shared" si="85"/>
        <v>3178839833</v>
      </c>
    </row>
    <row r="95" spans="1:119" ht="48.75" customHeight="1" thickTop="1" x14ac:dyDescent="0.25">
      <c r="A95" s="207" t="s">
        <v>292</v>
      </c>
      <c r="B95" s="208" t="s">
        <v>293</v>
      </c>
      <c r="C95" s="53" t="s">
        <v>294</v>
      </c>
      <c r="D95" s="19" t="s">
        <v>295</v>
      </c>
      <c r="E95" s="83">
        <v>510</v>
      </c>
      <c r="F95" s="21" t="s">
        <v>296</v>
      </c>
      <c r="G95" s="22">
        <f t="shared" ref="G95:G113" si="91">SUM(H95:AA95)</f>
        <v>1500000</v>
      </c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71"/>
      <c r="S95" s="22"/>
      <c r="T95" s="22"/>
      <c r="U95" s="22"/>
      <c r="V95" s="22"/>
      <c r="W95" s="22"/>
      <c r="X95" s="22"/>
      <c r="Y95" s="22"/>
      <c r="Z95" s="22"/>
      <c r="AA95" s="22">
        <v>1500000</v>
      </c>
      <c r="AB95" s="23">
        <f t="shared" si="63"/>
        <v>0</v>
      </c>
      <c r="AC95" s="22">
        <f t="shared" ref="AC95:AC113" si="92">SUM(AD95:AW95)</f>
        <v>0</v>
      </c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3">
        <f t="shared" si="64"/>
        <v>1</v>
      </c>
      <c r="AY95" s="22">
        <f t="shared" ref="AY95:AY113" si="93">SUM(AZ95:BS95)</f>
        <v>1500000</v>
      </c>
      <c r="AZ95" s="22">
        <f t="shared" ref="AZ95:BO112" si="94">H95-AD95</f>
        <v>0</v>
      </c>
      <c r="BA95" s="22">
        <f t="shared" si="94"/>
        <v>0</v>
      </c>
      <c r="BB95" s="22">
        <f t="shared" si="94"/>
        <v>0</v>
      </c>
      <c r="BC95" s="22">
        <f t="shared" si="94"/>
        <v>0</v>
      </c>
      <c r="BD95" s="22">
        <f t="shared" si="94"/>
        <v>0</v>
      </c>
      <c r="BE95" s="22">
        <f t="shared" si="94"/>
        <v>0</v>
      </c>
      <c r="BF95" s="22">
        <f t="shared" si="94"/>
        <v>0</v>
      </c>
      <c r="BG95" s="22">
        <f t="shared" si="94"/>
        <v>0</v>
      </c>
      <c r="BH95" s="22">
        <f t="shared" si="94"/>
        <v>0</v>
      </c>
      <c r="BI95" s="22">
        <f t="shared" si="94"/>
        <v>0</v>
      </c>
      <c r="BJ95" s="22">
        <f t="shared" si="94"/>
        <v>0</v>
      </c>
      <c r="BK95" s="22">
        <f t="shared" si="94"/>
        <v>0</v>
      </c>
      <c r="BL95" s="22">
        <f t="shared" si="94"/>
        <v>0</v>
      </c>
      <c r="BM95" s="22">
        <f t="shared" si="94"/>
        <v>0</v>
      </c>
      <c r="BN95" s="22">
        <f t="shared" si="94"/>
        <v>0</v>
      </c>
      <c r="BO95" s="22">
        <f t="shared" si="94"/>
        <v>0</v>
      </c>
      <c r="BP95" s="22">
        <f t="shared" ref="BO95:BS113" si="95">X95-AT95</f>
        <v>0</v>
      </c>
      <c r="BQ95" s="22">
        <f t="shared" si="95"/>
        <v>0</v>
      </c>
      <c r="BR95" s="22">
        <f t="shared" si="95"/>
        <v>0</v>
      </c>
      <c r="BS95" s="22">
        <f t="shared" si="95"/>
        <v>1500000</v>
      </c>
      <c r="BT95" s="23">
        <f t="shared" si="66"/>
        <v>0</v>
      </c>
      <c r="BU95" s="22">
        <f t="shared" ref="BU95:BU113" si="96">SUM(BV95:CO95)</f>
        <v>0</v>
      </c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3">
        <f t="shared" si="52"/>
        <v>1</v>
      </c>
      <c r="CQ95" s="22">
        <f t="shared" ref="CQ95:CQ113" si="97">SUM(CR95:DK95)</f>
        <v>1500000</v>
      </c>
      <c r="CR95" s="22">
        <f>H95-BV95</f>
        <v>0</v>
      </c>
      <c r="CS95" s="22">
        <f t="shared" ref="CS95:DH112" si="98">I95-BW95</f>
        <v>0</v>
      </c>
      <c r="CT95" s="22">
        <f t="shared" si="98"/>
        <v>0</v>
      </c>
      <c r="CU95" s="22">
        <f t="shared" si="98"/>
        <v>0</v>
      </c>
      <c r="CV95" s="22">
        <f t="shared" si="98"/>
        <v>0</v>
      </c>
      <c r="CW95" s="22">
        <f t="shared" si="98"/>
        <v>0</v>
      </c>
      <c r="CX95" s="22">
        <f t="shared" si="98"/>
        <v>0</v>
      </c>
      <c r="CY95" s="22">
        <f t="shared" si="98"/>
        <v>0</v>
      </c>
      <c r="CZ95" s="22">
        <f t="shared" si="98"/>
        <v>0</v>
      </c>
      <c r="DA95" s="22">
        <f t="shared" si="98"/>
        <v>0</v>
      </c>
      <c r="DB95" s="22">
        <f>R95-CF95</f>
        <v>0</v>
      </c>
      <c r="DC95" s="22">
        <f t="shared" si="98"/>
        <v>0</v>
      </c>
      <c r="DD95" s="22">
        <f t="shared" si="98"/>
        <v>0</v>
      </c>
      <c r="DE95" s="22">
        <f t="shared" si="98"/>
        <v>0</v>
      </c>
      <c r="DF95" s="22">
        <f t="shared" si="98"/>
        <v>0</v>
      </c>
      <c r="DG95" s="22">
        <f t="shared" si="98"/>
        <v>0</v>
      </c>
      <c r="DH95" s="22">
        <f t="shared" si="98"/>
        <v>0</v>
      </c>
      <c r="DI95" s="22">
        <f t="shared" ref="DI95:DK113" si="99">Y95-CM95</f>
        <v>0</v>
      </c>
      <c r="DJ95" s="22">
        <f t="shared" si="99"/>
        <v>0</v>
      </c>
      <c r="DK95" s="22">
        <f t="shared" si="99"/>
        <v>1500000</v>
      </c>
      <c r="DM95" s="26">
        <f t="shared" si="83"/>
        <v>1500000</v>
      </c>
      <c r="DN95" s="26">
        <f t="shared" si="84"/>
        <v>1500000</v>
      </c>
      <c r="DO95" s="26">
        <f t="shared" si="85"/>
        <v>1500000</v>
      </c>
    </row>
    <row r="96" spans="1:119" ht="48" x14ac:dyDescent="0.25">
      <c r="A96" s="192"/>
      <c r="B96" s="201"/>
      <c r="C96" s="53" t="s">
        <v>297</v>
      </c>
      <c r="D96" s="19" t="s">
        <v>298</v>
      </c>
      <c r="E96" s="83">
        <v>510</v>
      </c>
      <c r="F96" s="21" t="s">
        <v>299</v>
      </c>
      <c r="G96" s="22">
        <f t="shared" si="91"/>
        <v>1000000</v>
      </c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71"/>
      <c r="S96" s="22"/>
      <c r="T96" s="22"/>
      <c r="U96" s="22"/>
      <c r="V96" s="22">
        <v>1000000</v>
      </c>
      <c r="W96" s="22"/>
      <c r="X96" s="22"/>
      <c r="Y96" s="22"/>
      <c r="Z96" s="22"/>
      <c r="AA96" s="22"/>
      <c r="AB96" s="23">
        <f t="shared" si="63"/>
        <v>0</v>
      </c>
      <c r="AC96" s="22">
        <f t="shared" si="92"/>
        <v>0</v>
      </c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3">
        <f t="shared" si="64"/>
        <v>1</v>
      </c>
      <c r="AY96" s="22">
        <f t="shared" si="93"/>
        <v>1000000</v>
      </c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>
        <f t="shared" si="94"/>
        <v>1000000</v>
      </c>
      <c r="BO96" s="22"/>
      <c r="BP96" s="22"/>
      <c r="BQ96" s="22"/>
      <c r="BR96" s="22"/>
      <c r="BS96" s="22"/>
      <c r="BT96" s="23">
        <f t="shared" si="66"/>
        <v>0</v>
      </c>
      <c r="BU96" s="22">
        <f t="shared" si="96"/>
        <v>0</v>
      </c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3">
        <f t="shared" si="52"/>
        <v>1</v>
      </c>
      <c r="CQ96" s="22">
        <f t="shared" si="97"/>
        <v>1000000</v>
      </c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>
        <f t="shared" si="98"/>
        <v>1000000</v>
      </c>
      <c r="DG96" s="22"/>
      <c r="DH96" s="22"/>
      <c r="DI96" s="22"/>
      <c r="DJ96" s="22"/>
      <c r="DK96" s="22"/>
      <c r="DM96" s="26">
        <f t="shared" si="83"/>
        <v>1000000</v>
      </c>
      <c r="DN96" s="26">
        <f t="shared" si="84"/>
        <v>1000000</v>
      </c>
      <c r="DO96" s="26">
        <f t="shared" si="85"/>
        <v>1000000</v>
      </c>
    </row>
    <row r="97" spans="1:119" ht="48.75" thickBot="1" x14ac:dyDescent="0.3">
      <c r="A97" s="192"/>
      <c r="B97" s="209"/>
      <c r="C97" s="53" t="s">
        <v>300</v>
      </c>
      <c r="D97" s="19" t="s">
        <v>301</v>
      </c>
      <c r="E97" s="83">
        <v>510</v>
      </c>
      <c r="F97" s="21" t="s">
        <v>299</v>
      </c>
      <c r="G97" s="22">
        <f t="shared" si="91"/>
        <v>2000000</v>
      </c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71"/>
      <c r="S97" s="22"/>
      <c r="T97" s="22"/>
      <c r="U97" s="22"/>
      <c r="V97" s="22">
        <v>2000000</v>
      </c>
      <c r="W97" s="22"/>
      <c r="X97" s="22"/>
      <c r="Y97" s="22"/>
      <c r="Z97" s="22"/>
      <c r="AA97" s="22"/>
      <c r="AB97" s="23">
        <f t="shared" si="63"/>
        <v>0</v>
      </c>
      <c r="AC97" s="22">
        <f t="shared" si="92"/>
        <v>0</v>
      </c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3">
        <f t="shared" si="64"/>
        <v>1</v>
      </c>
      <c r="AY97" s="22">
        <f t="shared" si="93"/>
        <v>2000000</v>
      </c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>
        <f t="shared" si="94"/>
        <v>2000000</v>
      </c>
      <c r="BO97" s="22"/>
      <c r="BP97" s="22"/>
      <c r="BQ97" s="22"/>
      <c r="BR97" s="22"/>
      <c r="BS97" s="22"/>
      <c r="BT97" s="23">
        <f t="shared" si="66"/>
        <v>0</v>
      </c>
      <c r="BU97" s="22">
        <f t="shared" si="96"/>
        <v>0</v>
      </c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3">
        <f t="shared" si="52"/>
        <v>1</v>
      </c>
      <c r="CQ97" s="22">
        <f t="shared" si="97"/>
        <v>2000000</v>
      </c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>
        <f t="shared" si="98"/>
        <v>2000000</v>
      </c>
      <c r="DG97" s="22"/>
      <c r="DH97" s="22"/>
      <c r="DI97" s="22"/>
      <c r="DJ97" s="22"/>
      <c r="DK97" s="22"/>
      <c r="DM97" s="26">
        <f t="shared" si="83"/>
        <v>2000000</v>
      </c>
      <c r="DN97" s="26">
        <f t="shared" si="84"/>
        <v>2000000</v>
      </c>
      <c r="DO97" s="26">
        <f t="shared" si="85"/>
        <v>2000000</v>
      </c>
    </row>
    <row r="98" spans="1:119" ht="24.75" thickTop="1" x14ac:dyDescent="0.25">
      <c r="A98" s="192"/>
      <c r="B98" s="208" t="s">
        <v>302</v>
      </c>
      <c r="C98" s="53" t="s">
        <v>303</v>
      </c>
      <c r="D98" s="19" t="s">
        <v>304</v>
      </c>
      <c r="E98" s="83">
        <v>111</v>
      </c>
      <c r="F98" s="21" t="s">
        <v>305</v>
      </c>
      <c r="G98" s="22">
        <f t="shared" si="91"/>
        <v>575338316</v>
      </c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>
        <f>250000000</f>
        <v>250000000</v>
      </c>
      <c r="V98" s="22"/>
      <c r="W98" s="22"/>
      <c r="X98" s="22"/>
      <c r="Y98" s="22"/>
      <c r="Z98" s="22"/>
      <c r="AA98" s="22">
        <f>1028515825+153485735-227543349+20880105-250000000-400000000</f>
        <v>325338316</v>
      </c>
      <c r="AB98" s="23">
        <f t="shared" si="63"/>
        <v>0.43452694362181155</v>
      </c>
      <c r="AC98" s="22">
        <f t="shared" ref="AC98" si="100">SUM(AD98:AW98)</f>
        <v>250000000</v>
      </c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>
        <f>+'[6]JULIO 2017'!$W$18</f>
        <v>250000000</v>
      </c>
      <c r="AR98" s="22"/>
      <c r="AS98" s="22"/>
      <c r="AT98" s="22"/>
      <c r="AU98" s="22"/>
      <c r="AV98" s="22"/>
      <c r="AW98" s="22"/>
      <c r="AX98" s="23">
        <f t="shared" si="64"/>
        <v>0.56547305637818845</v>
      </c>
      <c r="AY98" s="22">
        <f t="shared" si="93"/>
        <v>325338316</v>
      </c>
      <c r="AZ98" s="22">
        <f t="shared" si="94"/>
        <v>0</v>
      </c>
      <c r="BA98" s="22">
        <f t="shared" si="94"/>
        <v>0</v>
      </c>
      <c r="BB98" s="22">
        <f t="shared" si="94"/>
        <v>0</v>
      </c>
      <c r="BC98" s="22">
        <f t="shared" si="94"/>
        <v>0</v>
      </c>
      <c r="BD98" s="22">
        <f t="shared" si="94"/>
        <v>0</v>
      </c>
      <c r="BE98" s="22">
        <f t="shared" si="94"/>
        <v>0</v>
      </c>
      <c r="BF98" s="22">
        <f t="shared" si="94"/>
        <v>0</v>
      </c>
      <c r="BG98" s="22">
        <f t="shared" si="94"/>
        <v>0</v>
      </c>
      <c r="BH98" s="22">
        <f t="shared" si="94"/>
        <v>0</v>
      </c>
      <c r="BI98" s="22">
        <f t="shared" si="94"/>
        <v>0</v>
      </c>
      <c r="BJ98" s="22">
        <f t="shared" si="94"/>
        <v>0</v>
      </c>
      <c r="BK98" s="22">
        <f t="shared" si="94"/>
        <v>0</v>
      </c>
      <c r="BL98" s="22">
        <f t="shared" si="94"/>
        <v>0</v>
      </c>
      <c r="BM98" s="22">
        <f t="shared" si="94"/>
        <v>0</v>
      </c>
      <c r="BN98" s="22">
        <f t="shared" si="94"/>
        <v>0</v>
      </c>
      <c r="BO98" s="22">
        <f t="shared" si="94"/>
        <v>0</v>
      </c>
      <c r="BP98" s="22">
        <f t="shared" si="95"/>
        <v>0</v>
      </c>
      <c r="BQ98" s="22">
        <f t="shared" si="95"/>
        <v>0</v>
      </c>
      <c r="BR98" s="22">
        <f t="shared" si="95"/>
        <v>0</v>
      </c>
      <c r="BS98" s="22">
        <f t="shared" si="95"/>
        <v>325338316</v>
      </c>
      <c r="BT98" s="23">
        <f t="shared" si="66"/>
        <v>0.24677328808394539</v>
      </c>
      <c r="BU98" s="22">
        <f t="shared" si="96"/>
        <v>141978128</v>
      </c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>
        <f>+'[5]AGOSTO 2017'!$H$19</f>
        <v>141978128</v>
      </c>
      <c r="CJ98" s="22"/>
      <c r="CK98" s="22"/>
      <c r="CL98" s="22"/>
      <c r="CM98" s="22"/>
      <c r="CN98" s="22"/>
      <c r="CO98" s="22"/>
      <c r="CP98" s="23">
        <f t="shared" si="52"/>
        <v>0.75322671191605461</v>
      </c>
      <c r="CQ98" s="22">
        <f t="shared" si="97"/>
        <v>433360188</v>
      </c>
      <c r="CR98" s="22">
        <f>H98-BV98</f>
        <v>0</v>
      </c>
      <c r="CS98" s="22">
        <f t="shared" si="98"/>
        <v>0</v>
      </c>
      <c r="CT98" s="22">
        <f t="shared" si="98"/>
        <v>0</v>
      </c>
      <c r="CU98" s="22">
        <f t="shared" si="98"/>
        <v>0</v>
      </c>
      <c r="CV98" s="22">
        <f t="shared" si="98"/>
        <v>0</v>
      </c>
      <c r="CW98" s="22">
        <f t="shared" si="98"/>
        <v>0</v>
      </c>
      <c r="CX98" s="22">
        <f t="shared" si="98"/>
        <v>0</v>
      </c>
      <c r="CY98" s="22">
        <f t="shared" si="98"/>
        <v>0</v>
      </c>
      <c r="CZ98" s="22">
        <f t="shared" si="98"/>
        <v>0</v>
      </c>
      <c r="DA98" s="22">
        <f t="shared" si="98"/>
        <v>0</v>
      </c>
      <c r="DB98" s="22">
        <f t="shared" si="98"/>
        <v>0</v>
      </c>
      <c r="DC98" s="22">
        <f t="shared" si="98"/>
        <v>0</v>
      </c>
      <c r="DD98" s="22">
        <f t="shared" si="98"/>
        <v>0</v>
      </c>
      <c r="DE98" s="22">
        <f t="shared" si="98"/>
        <v>108021872</v>
      </c>
      <c r="DF98" s="22">
        <f t="shared" si="98"/>
        <v>0</v>
      </c>
      <c r="DG98" s="22">
        <f t="shared" si="98"/>
        <v>0</v>
      </c>
      <c r="DH98" s="22">
        <f t="shared" si="98"/>
        <v>0</v>
      </c>
      <c r="DI98" s="22">
        <f t="shared" si="99"/>
        <v>0</v>
      </c>
      <c r="DJ98" s="22">
        <f t="shared" si="99"/>
        <v>0</v>
      </c>
      <c r="DK98" s="22">
        <f t="shared" si="99"/>
        <v>325338316</v>
      </c>
      <c r="DM98" s="26">
        <f t="shared" si="83"/>
        <v>575338316</v>
      </c>
      <c r="DN98" s="26">
        <f t="shared" si="84"/>
        <v>575338316</v>
      </c>
      <c r="DO98" s="26">
        <f t="shared" si="85"/>
        <v>575338316</v>
      </c>
    </row>
    <row r="99" spans="1:119" s="73" customFormat="1" ht="78" customHeight="1" x14ac:dyDescent="0.25">
      <c r="A99" s="192"/>
      <c r="B99" s="202"/>
      <c r="C99" s="84" t="s">
        <v>306</v>
      </c>
      <c r="D99" s="19" t="s">
        <v>307</v>
      </c>
      <c r="E99" s="82">
        <v>111</v>
      </c>
      <c r="F99" s="21" t="s">
        <v>308</v>
      </c>
      <c r="G99" s="22">
        <f t="shared" si="91"/>
        <v>1683063108</v>
      </c>
      <c r="H99" s="22">
        <v>181434097</v>
      </c>
      <c r="I99" s="22"/>
      <c r="J99" s="22">
        <v>100000000</v>
      </c>
      <c r="K99" s="22">
        <v>665649946</v>
      </c>
      <c r="L99" s="22"/>
      <c r="M99" s="22"/>
      <c r="N99" s="22">
        <v>12004716</v>
      </c>
      <c r="O99" s="22">
        <v>6840985</v>
      </c>
      <c r="P99" s="22">
        <v>30665828</v>
      </c>
      <c r="Q99" s="22"/>
      <c r="R99" s="22"/>
      <c r="S99" s="22"/>
      <c r="T99" s="22">
        <v>100000000</v>
      </c>
      <c r="U99" s="22">
        <v>82000000</v>
      </c>
      <c r="V99" s="22">
        <f>100000000+100000000</f>
        <v>200000000</v>
      </c>
      <c r="W99" s="22"/>
      <c r="X99" s="22"/>
      <c r="Y99" s="22"/>
      <c r="Z99" s="22"/>
      <c r="AA99" s="22">
        <f>31441728+4000000+3000000+227543349+8000000+30482459</f>
        <v>304467536</v>
      </c>
      <c r="AB99" s="72">
        <f t="shared" si="63"/>
        <v>0.89686340923587049</v>
      </c>
      <c r="AC99" s="22">
        <f t="shared" si="92"/>
        <v>1509477717</v>
      </c>
      <c r="AD99" s="71">
        <f>+'[5]AGOSTO 2017'!$J$25</f>
        <v>181434097</v>
      </c>
      <c r="AE99" s="71"/>
      <c r="AF99" s="22">
        <f>+'[5]AGOSTO 2017'!$L$25-AG99</f>
        <v>35881866</v>
      </c>
      <c r="AG99" s="22">
        <f>+'[5]AGOSTO 2017'!$H$26+'[5]AGOSTO 2017'!$H$34+'[5]AGOSTO 2017'!$G$68</f>
        <v>626897592</v>
      </c>
      <c r="AH99" s="71"/>
      <c r="AI99" s="71"/>
      <c r="AJ99" s="71">
        <f>+'[3]JUNIO 2017'!$O$23</f>
        <v>12004716</v>
      </c>
      <c r="AK99" s="71">
        <f>+'[3]JUNIO 2017'!$P$23</f>
        <v>6840985</v>
      </c>
      <c r="AL99" s="71">
        <f>+'[3]JUNIO 2017'!$Q$23</f>
        <v>30665828</v>
      </c>
      <c r="AM99" s="71"/>
      <c r="AN99" s="71"/>
      <c r="AO99" s="71"/>
      <c r="AP99" s="71">
        <f>+'[3]JUNIO 2017'!$V$23</f>
        <v>100000000</v>
      </c>
      <c r="AQ99" s="71">
        <f>+'[5]AGOSTO 2017'!$W$25</f>
        <v>40000000</v>
      </c>
      <c r="AR99" s="71">
        <f>+'[5]AGOSTO 2017'!$X$25</f>
        <v>189069282</v>
      </c>
      <c r="AS99" s="71"/>
      <c r="AT99" s="71"/>
      <c r="AU99" s="71"/>
      <c r="AV99" s="71"/>
      <c r="AW99" s="71">
        <f>+'[5]AGOSTO 2017'!$AC$25</f>
        <v>286683351</v>
      </c>
      <c r="AX99" s="72">
        <f t="shared" si="64"/>
        <v>0.10313659076412951</v>
      </c>
      <c r="AY99" s="22">
        <f t="shared" si="93"/>
        <v>173585391</v>
      </c>
      <c r="AZ99" s="22">
        <f t="shared" si="94"/>
        <v>0</v>
      </c>
      <c r="BA99" s="22">
        <f t="shared" si="94"/>
        <v>0</v>
      </c>
      <c r="BB99" s="22">
        <f t="shared" si="94"/>
        <v>64118134</v>
      </c>
      <c r="BC99" s="22">
        <f t="shared" si="94"/>
        <v>38752354</v>
      </c>
      <c r="BD99" s="22">
        <f t="shared" si="94"/>
        <v>0</v>
      </c>
      <c r="BE99" s="22">
        <f t="shared" si="94"/>
        <v>0</v>
      </c>
      <c r="BF99" s="22">
        <f t="shared" si="94"/>
        <v>0</v>
      </c>
      <c r="BG99" s="22">
        <f t="shared" si="94"/>
        <v>0</v>
      </c>
      <c r="BH99" s="22">
        <f t="shared" si="94"/>
        <v>0</v>
      </c>
      <c r="BI99" s="22">
        <f t="shared" si="94"/>
        <v>0</v>
      </c>
      <c r="BJ99" s="22">
        <f t="shared" si="94"/>
        <v>0</v>
      </c>
      <c r="BK99" s="22">
        <f t="shared" si="94"/>
        <v>0</v>
      </c>
      <c r="BL99" s="22">
        <f t="shared" si="94"/>
        <v>0</v>
      </c>
      <c r="BM99" s="22">
        <f t="shared" si="94"/>
        <v>42000000</v>
      </c>
      <c r="BN99" s="22">
        <f t="shared" si="94"/>
        <v>10930718</v>
      </c>
      <c r="BO99" s="22">
        <f t="shared" si="94"/>
        <v>0</v>
      </c>
      <c r="BP99" s="22">
        <f t="shared" si="95"/>
        <v>0</v>
      </c>
      <c r="BQ99" s="22">
        <f t="shared" si="95"/>
        <v>0</v>
      </c>
      <c r="BR99" s="22">
        <f t="shared" si="95"/>
        <v>0</v>
      </c>
      <c r="BS99" s="22">
        <f t="shared" si="95"/>
        <v>17784185</v>
      </c>
      <c r="BT99" s="72">
        <f t="shared" si="66"/>
        <v>0.42777465775216789</v>
      </c>
      <c r="BU99" s="22">
        <f t="shared" si="96"/>
        <v>719971745</v>
      </c>
      <c r="BV99" s="71"/>
      <c r="BW99" s="71"/>
      <c r="BX99" s="71">
        <f>+'[5]AGOSTO 2017'!$H$32+'[5]AGOSTO 2017'!$H$56+'[5]AGOSTO 2017'!$H$69</f>
        <v>23731866</v>
      </c>
      <c r="BY99" s="71">
        <f>+'[5]AGOSTO 2017'!$H$26+'[5]AGOSTO 2017'!$H$34</f>
        <v>74160140</v>
      </c>
      <c r="BZ99" s="71"/>
      <c r="CA99" s="71"/>
      <c r="CB99" s="71">
        <f>+'[6]JULIO 2017'!$H$56</f>
        <v>12004716</v>
      </c>
      <c r="CC99" s="71">
        <f>+'[6]JULIO 2017'!$H$57</f>
        <v>6840985</v>
      </c>
      <c r="CD99" s="71">
        <f>+'[6]JULIO 2017'!$H$59</f>
        <v>30665828</v>
      </c>
      <c r="CE99" s="71"/>
      <c r="CF99" s="71"/>
      <c r="CG99" s="71"/>
      <c r="CH99" s="71">
        <f>+'[5]AGOSTO 2017'!$H$43+'[5]AGOSTO 2017'!$H$45+'[5]AGOSTO 2017'!$H$64</f>
        <v>100000000</v>
      </c>
      <c r="CI99" s="71"/>
      <c r="CJ99" s="71">
        <f>+'[5]AGOSTO 2017'!$H$28+'[5]AGOSTO 2017'!$H$30+'[5]AGOSTO 2017'!$H$66+'[5]AGOSTO 2017'!$H$71+'[5]AGOSTO 2017'!$H$73</f>
        <v>189069282</v>
      </c>
      <c r="CK99" s="71"/>
      <c r="CL99" s="71"/>
      <c r="CM99" s="71"/>
      <c r="CN99" s="71"/>
      <c r="CO99" s="71">
        <f>+'[5]AGOSTO 2017'!$H$36+'[5]AGOSTO 2017'!$H$38+'[5]AGOSTO 2017'!$H$40+'[5]AGOSTO 2017'!$H$47+'[5]AGOSTO 2017'!$H$49+'[5]AGOSTO 2017'!$H$51+'[5]AGOSTO 2017'!$H$75+'[5]AGOSTO 2017'!$H$78+'[5]AGOSTO 2017'!$H$80+'[5]AGOSTO 2017'!$H$82+'[5]AGOSTO 2017'!$H$86</f>
        <v>283498928</v>
      </c>
      <c r="CP99" s="72">
        <f t="shared" si="52"/>
        <v>0.57222534224783206</v>
      </c>
      <c r="CQ99" s="22">
        <f t="shared" si="97"/>
        <v>963091363</v>
      </c>
      <c r="CR99" s="22">
        <f t="shared" ref="CR99:CR113" si="101">H99-BV99</f>
        <v>181434097</v>
      </c>
      <c r="CS99" s="22">
        <f t="shared" si="98"/>
        <v>0</v>
      </c>
      <c r="CT99" s="22">
        <f t="shared" si="98"/>
        <v>76268134</v>
      </c>
      <c r="CU99" s="22">
        <f t="shared" si="98"/>
        <v>591489806</v>
      </c>
      <c r="CV99" s="22">
        <f t="shared" si="98"/>
        <v>0</v>
      </c>
      <c r="CW99" s="22">
        <f t="shared" si="98"/>
        <v>0</v>
      </c>
      <c r="CX99" s="22">
        <f t="shared" si="98"/>
        <v>0</v>
      </c>
      <c r="CY99" s="22">
        <f t="shared" si="98"/>
        <v>0</v>
      </c>
      <c r="CZ99" s="22">
        <f t="shared" si="98"/>
        <v>0</v>
      </c>
      <c r="DA99" s="22">
        <f t="shared" si="98"/>
        <v>0</v>
      </c>
      <c r="DB99" s="22">
        <f t="shared" si="98"/>
        <v>0</v>
      </c>
      <c r="DC99" s="22">
        <f t="shared" si="98"/>
        <v>0</v>
      </c>
      <c r="DD99" s="22">
        <f t="shared" si="98"/>
        <v>0</v>
      </c>
      <c r="DE99" s="22">
        <f t="shared" si="98"/>
        <v>82000000</v>
      </c>
      <c r="DF99" s="22">
        <f t="shared" si="98"/>
        <v>10930718</v>
      </c>
      <c r="DG99" s="22">
        <f t="shared" si="98"/>
        <v>0</v>
      </c>
      <c r="DH99" s="22">
        <f t="shared" si="98"/>
        <v>0</v>
      </c>
      <c r="DI99" s="22">
        <f t="shared" si="99"/>
        <v>0</v>
      </c>
      <c r="DJ99" s="22">
        <f t="shared" si="99"/>
        <v>0</v>
      </c>
      <c r="DK99" s="22">
        <f t="shared" si="99"/>
        <v>20968608</v>
      </c>
      <c r="DM99" s="26">
        <f t="shared" si="83"/>
        <v>1683063108</v>
      </c>
      <c r="DN99" s="26">
        <f t="shared" si="84"/>
        <v>1683063108</v>
      </c>
      <c r="DO99" s="26">
        <f t="shared" si="85"/>
        <v>1683063108</v>
      </c>
    </row>
    <row r="100" spans="1:119" ht="30" x14ac:dyDescent="0.25">
      <c r="A100" s="192"/>
      <c r="B100" s="191" t="s">
        <v>309</v>
      </c>
      <c r="C100" s="53" t="s">
        <v>310</v>
      </c>
      <c r="D100" s="19" t="s">
        <v>311</v>
      </c>
      <c r="E100" s="83">
        <v>211</v>
      </c>
      <c r="F100" s="21" t="s">
        <v>312</v>
      </c>
      <c r="G100" s="22">
        <f t="shared" si="91"/>
        <v>1625954405</v>
      </c>
      <c r="H100" s="22"/>
      <c r="I100" s="22"/>
      <c r="J100" s="22">
        <f>300000000+94648167</f>
        <v>394648167</v>
      </c>
      <c r="K100" s="22">
        <v>815752314</v>
      </c>
      <c r="L100" s="22">
        <v>80883013</v>
      </c>
      <c r="M100" s="22"/>
      <c r="N100" s="22"/>
      <c r="O100" s="22"/>
      <c r="P100" s="22"/>
      <c r="Q100" s="22">
        <v>1940856</v>
      </c>
      <c r="R100" s="22">
        <v>135153822</v>
      </c>
      <c r="S100" s="22"/>
      <c r="T100" s="22"/>
      <c r="U100" s="22">
        <v>20224400</v>
      </c>
      <c r="V100" s="22">
        <f>175000000-94648167</f>
        <v>80351833</v>
      </c>
      <c r="W100" s="22"/>
      <c r="X100" s="22"/>
      <c r="Y100" s="22"/>
      <c r="Z100" s="22"/>
      <c r="AA100" s="22">
        <f>14000000+43000000+40000000</f>
        <v>97000000</v>
      </c>
      <c r="AB100" s="23">
        <f t="shared" si="63"/>
        <v>0.81359849447930865</v>
      </c>
      <c r="AC100" s="22">
        <f t="shared" si="92"/>
        <v>1322874056</v>
      </c>
      <c r="AD100" s="22"/>
      <c r="AE100" s="22"/>
      <c r="AF100" s="22">
        <f>+'[5]AGOSTO 2017'!$L$101-AG100</f>
        <v>216860507</v>
      </c>
      <c r="AG100" s="22">
        <v>815752314</v>
      </c>
      <c r="AH100" s="22">
        <f>+'[6]JULIO 2017'!$M$83</f>
        <v>80883013</v>
      </c>
      <c r="AI100" s="22"/>
      <c r="AJ100" s="22"/>
      <c r="AK100" s="22"/>
      <c r="AL100" s="22"/>
      <c r="AM100" s="22"/>
      <c r="AN100" s="22">
        <f>+'[6]JULIO 2017'!$T$83</f>
        <v>135153822</v>
      </c>
      <c r="AO100" s="22"/>
      <c r="AP100" s="22"/>
      <c r="AQ100" s="22">
        <f>+'[5]AGOSTO 2017'!$W$101</f>
        <v>20224400</v>
      </c>
      <c r="AR100" s="22"/>
      <c r="AS100" s="22"/>
      <c r="AT100" s="22"/>
      <c r="AU100" s="22"/>
      <c r="AV100" s="22"/>
      <c r="AW100" s="22">
        <f>+'[5]AGOSTO 2017'!$AC$101</f>
        <v>54000000</v>
      </c>
      <c r="AX100" s="23">
        <f t="shared" si="64"/>
        <v>0.18640150552069135</v>
      </c>
      <c r="AY100" s="22">
        <f t="shared" si="93"/>
        <v>303080349</v>
      </c>
      <c r="AZ100" s="22">
        <f t="shared" si="94"/>
        <v>0</v>
      </c>
      <c r="BA100" s="22">
        <f t="shared" si="94"/>
        <v>0</v>
      </c>
      <c r="BB100" s="22">
        <f t="shared" si="94"/>
        <v>177787660</v>
      </c>
      <c r="BC100" s="22">
        <f t="shared" si="94"/>
        <v>0</v>
      </c>
      <c r="BD100" s="22">
        <f t="shared" si="94"/>
        <v>0</v>
      </c>
      <c r="BE100" s="22">
        <f t="shared" si="94"/>
        <v>0</v>
      </c>
      <c r="BF100" s="22">
        <f t="shared" si="94"/>
        <v>0</v>
      </c>
      <c r="BG100" s="22">
        <f t="shared" si="94"/>
        <v>0</v>
      </c>
      <c r="BH100" s="22">
        <f t="shared" si="94"/>
        <v>0</v>
      </c>
      <c r="BI100" s="22">
        <f t="shared" si="94"/>
        <v>1940856</v>
      </c>
      <c r="BJ100" s="22">
        <f t="shared" si="94"/>
        <v>0</v>
      </c>
      <c r="BK100" s="22">
        <f t="shared" si="94"/>
        <v>0</v>
      </c>
      <c r="BL100" s="22">
        <f t="shared" si="94"/>
        <v>0</v>
      </c>
      <c r="BM100" s="22">
        <f t="shared" si="94"/>
        <v>0</v>
      </c>
      <c r="BN100" s="22">
        <f t="shared" si="94"/>
        <v>80351833</v>
      </c>
      <c r="BO100" s="22">
        <f t="shared" si="94"/>
        <v>0</v>
      </c>
      <c r="BP100" s="22">
        <f t="shared" si="95"/>
        <v>0</v>
      </c>
      <c r="BQ100" s="22">
        <f t="shared" si="95"/>
        <v>0</v>
      </c>
      <c r="BR100" s="22">
        <f t="shared" si="95"/>
        <v>0</v>
      </c>
      <c r="BS100" s="22">
        <f t="shared" si="95"/>
        <v>43000000</v>
      </c>
      <c r="BT100" s="23">
        <f t="shared" si="66"/>
        <v>0.45441030740342314</v>
      </c>
      <c r="BU100" s="22">
        <f t="shared" si="96"/>
        <v>738850441</v>
      </c>
      <c r="BV100" s="22"/>
      <c r="BW100" s="22"/>
      <c r="BX100" s="22">
        <v>23102199</v>
      </c>
      <c r="BY100" s="22">
        <f>+'[5]AGOSTO 2017'!$H$102+'[5]AGOSTO 2017'!$H$104+'[5]AGOSTO 2017'!$H$108+'[5]AGOSTO 2017'!$H$116</f>
        <v>697857678</v>
      </c>
      <c r="BZ100" s="22">
        <f>+'[3]JUNIO 2017'!$H$75</f>
        <v>7736670</v>
      </c>
      <c r="CA100" s="22"/>
      <c r="CB100" s="22"/>
      <c r="CC100" s="22"/>
      <c r="CD100" s="22"/>
      <c r="CE100" s="22"/>
      <c r="CF100" s="22">
        <f>+'[5]AGOSTO 2017'!$H$114</f>
        <v>10153894</v>
      </c>
      <c r="CG100" s="22"/>
      <c r="CH100" s="22"/>
      <c r="CI100" s="22"/>
      <c r="CJ100" s="22"/>
      <c r="CK100" s="22"/>
      <c r="CL100" s="22"/>
      <c r="CM100" s="22"/>
      <c r="CN100" s="22"/>
      <c r="CO100" s="22"/>
      <c r="CP100" s="23">
        <f t="shared" si="52"/>
        <v>0.54558969259657686</v>
      </c>
      <c r="CQ100" s="22">
        <f t="shared" si="97"/>
        <v>887103964</v>
      </c>
      <c r="CR100" s="22">
        <f t="shared" si="101"/>
        <v>0</v>
      </c>
      <c r="CS100" s="22">
        <f t="shared" si="98"/>
        <v>0</v>
      </c>
      <c r="CT100" s="22">
        <f t="shared" si="98"/>
        <v>371545968</v>
      </c>
      <c r="CU100" s="22">
        <f t="shared" si="98"/>
        <v>117894636</v>
      </c>
      <c r="CV100" s="22">
        <f t="shared" si="98"/>
        <v>73146343</v>
      </c>
      <c r="CW100" s="22">
        <f t="shared" si="98"/>
        <v>0</v>
      </c>
      <c r="CX100" s="22">
        <f t="shared" si="98"/>
        <v>0</v>
      </c>
      <c r="CY100" s="22">
        <f t="shared" si="98"/>
        <v>0</v>
      </c>
      <c r="CZ100" s="22">
        <f t="shared" si="98"/>
        <v>0</v>
      </c>
      <c r="DA100" s="22">
        <f t="shared" si="98"/>
        <v>1940856</v>
      </c>
      <c r="DB100" s="22">
        <f t="shared" si="98"/>
        <v>124999928</v>
      </c>
      <c r="DC100" s="22">
        <f t="shared" si="98"/>
        <v>0</v>
      </c>
      <c r="DD100" s="22">
        <f t="shared" si="98"/>
        <v>0</v>
      </c>
      <c r="DE100" s="22">
        <f t="shared" si="98"/>
        <v>20224400</v>
      </c>
      <c r="DF100" s="22">
        <f t="shared" si="98"/>
        <v>80351833</v>
      </c>
      <c r="DG100" s="22">
        <f t="shared" si="98"/>
        <v>0</v>
      </c>
      <c r="DH100" s="22">
        <f t="shared" si="98"/>
        <v>0</v>
      </c>
      <c r="DI100" s="22">
        <f t="shared" si="99"/>
        <v>0</v>
      </c>
      <c r="DJ100" s="22">
        <f t="shared" si="99"/>
        <v>0</v>
      </c>
      <c r="DK100" s="22">
        <f t="shared" si="99"/>
        <v>97000000</v>
      </c>
      <c r="DM100" s="26">
        <f t="shared" si="83"/>
        <v>1625954405</v>
      </c>
      <c r="DN100" s="26">
        <f t="shared" si="84"/>
        <v>1625954405</v>
      </c>
      <c r="DO100" s="26">
        <f t="shared" si="85"/>
        <v>1625954405</v>
      </c>
    </row>
    <row r="101" spans="1:119" ht="91.5" customHeight="1" x14ac:dyDescent="0.25">
      <c r="A101" s="192"/>
      <c r="B101" s="189"/>
      <c r="C101" s="53" t="s">
        <v>313</v>
      </c>
      <c r="D101" s="66" t="s">
        <v>314</v>
      </c>
      <c r="E101" s="83">
        <v>211</v>
      </c>
      <c r="F101" s="21" t="s">
        <v>315</v>
      </c>
      <c r="G101" s="22">
        <f t="shared" si="91"/>
        <v>821004004</v>
      </c>
      <c r="H101" s="22"/>
      <c r="I101" s="22"/>
      <c r="J101" s="22">
        <v>300000000</v>
      </c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>
        <v>100000000</v>
      </c>
      <c r="V101" s="22">
        <f>157081606+74911804</f>
        <v>231993410</v>
      </c>
      <c r="W101" s="22"/>
      <c r="X101" s="22"/>
      <c r="Y101" s="22"/>
      <c r="Z101" s="22"/>
      <c r="AA101" s="22">
        <f>55787227+16338076+3095452+24000000+40000000+20428057+9361782+10000000+8000000+2000000</f>
        <v>189010594</v>
      </c>
      <c r="AB101" s="23">
        <f t="shared" si="63"/>
        <v>0.94448164226005404</v>
      </c>
      <c r="AC101" s="22">
        <f t="shared" si="92"/>
        <v>775423210</v>
      </c>
      <c r="AD101" s="22"/>
      <c r="AE101" s="22"/>
      <c r="AF101" s="22">
        <f>+'[6]JULIO 2017'!$L$107</f>
        <v>300000000</v>
      </c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>
        <f>+'[6]JULIO 2017'!$W$107</f>
        <v>100000000</v>
      </c>
      <c r="AR101" s="22">
        <f>+'[5]AGOSTO 2017'!$X$132</f>
        <v>228875610</v>
      </c>
      <c r="AS101" s="22"/>
      <c r="AT101" s="22"/>
      <c r="AU101" s="22"/>
      <c r="AV101" s="22"/>
      <c r="AW101" s="22">
        <f>+'[5]AGOSTO 2017'!$AC$132</f>
        <v>146547600</v>
      </c>
      <c r="AX101" s="23">
        <f t="shared" si="64"/>
        <v>5.5518357739945956E-2</v>
      </c>
      <c r="AY101" s="22">
        <f t="shared" si="93"/>
        <v>45580794</v>
      </c>
      <c r="AZ101" s="22">
        <f t="shared" si="94"/>
        <v>0</v>
      </c>
      <c r="BA101" s="22">
        <f t="shared" si="94"/>
        <v>0</v>
      </c>
      <c r="BB101" s="22">
        <f t="shared" si="94"/>
        <v>0</v>
      </c>
      <c r="BC101" s="22">
        <f t="shared" si="94"/>
        <v>0</v>
      </c>
      <c r="BD101" s="22">
        <f t="shared" si="94"/>
        <v>0</v>
      </c>
      <c r="BE101" s="22">
        <f t="shared" si="94"/>
        <v>0</v>
      </c>
      <c r="BF101" s="22">
        <f t="shared" si="94"/>
        <v>0</v>
      </c>
      <c r="BG101" s="22">
        <f t="shared" si="94"/>
        <v>0</v>
      </c>
      <c r="BH101" s="22">
        <f t="shared" si="94"/>
        <v>0</v>
      </c>
      <c r="BI101" s="22">
        <f t="shared" si="94"/>
        <v>0</v>
      </c>
      <c r="BJ101" s="22">
        <f t="shared" si="94"/>
        <v>0</v>
      </c>
      <c r="BK101" s="22">
        <f t="shared" si="94"/>
        <v>0</v>
      </c>
      <c r="BL101" s="22">
        <f t="shared" si="94"/>
        <v>0</v>
      </c>
      <c r="BM101" s="22">
        <f t="shared" si="94"/>
        <v>0</v>
      </c>
      <c r="BN101" s="22">
        <f t="shared" si="94"/>
        <v>3117800</v>
      </c>
      <c r="BO101" s="22">
        <f t="shared" si="94"/>
        <v>0</v>
      </c>
      <c r="BP101" s="22">
        <f t="shared" si="95"/>
        <v>0</v>
      </c>
      <c r="BQ101" s="22">
        <f t="shared" si="95"/>
        <v>0</v>
      </c>
      <c r="BR101" s="22">
        <f t="shared" si="95"/>
        <v>0</v>
      </c>
      <c r="BS101" s="22">
        <f t="shared" si="95"/>
        <v>42462994</v>
      </c>
      <c r="BT101" s="23">
        <f t="shared" si="66"/>
        <v>0.64892443447815384</v>
      </c>
      <c r="BU101" s="22">
        <f t="shared" si="96"/>
        <v>532769559</v>
      </c>
      <c r="BV101" s="22"/>
      <c r="BW101" s="22"/>
      <c r="BX101" s="22">
        <f>+'[8]ABRIL 2017'!$H$62</f>
        <v>269868200</v>
      </c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>
        <f>+'[5]AGOSTO 2017'!$H$162+'[5]AGOSTO 2017'!$H$165+'[5]AGOSTO 2017'!$X$168</f>
        <v>228875610</v>
      </c>
      <c r="CK101" s="22"/>
      <c r="CL101" s="22"/>
      <c r="CM101" s="22"/>
      <c r="CN101" s="22"/>
      <c r="CO101" s="22">
        <f>+'[5]AGOSTO 2017'!$H$130-CJ101-BX101</f>
        <v>34025749</v>
      </c>
      <c r="CP101" s="23">
        <f t="shared" si="52"/>
        <v>0.35107556552184616</v>
      </c>
      <c r="CQ101" s="22">
        <f t="shared" si="97"/>
        <v>288234445</v>
      </c>
      <c r="CR101" s="22">
        <f t="shared" si="101"/>
        <v>0</v>
      </c>
      <c r="CS101" s="22">
        <f t="shared" si="98"/>
        <v>0</v>
      </c>
      <c r="CT101" s="22">
        <f t="shared" si="98"/>
        <v>30131800</v>
      </c>
      <c r="CU101" s="22">
        <f t="shared" si="98"/>
        <v>0</v>
      </c>
      <c r="CV101" s="22">
        <f t="shared" si="98"/>
        <v>0</v>
      </c>
      <c r="CW101" s="22">
        <f t="shared" si="98"/>
        <v>0</v>
      </c>
      <c r="CX101" s="22">
        <f t="shared" si="98"/>
        <v>0</v>
      </c>
      <c r="CY101" s="22">
        <f t="shared" si="98"/>
        <v>0</v>
      </c>
      <c r="CZ101" s="22">
        <f t="shared" si="98"/>
        <v>0</v>
      </c>
      <c r="DA101" s="22">
        <f t="shared" si="98"/>
        <v>0</v>
      </c>
      <c r="DB101" s="22">
        <f t="shared" si="98"/>
        <v>0</v>
      </c>
      <c r="DC101" s="22">
        <f t="shared" si="98"/>
        <v>0</v>
      </c>
      <c r="DD101" s="22">
        <f t="shared" si="98"/>
        <v>0</v>
      </c>
      <c r="DE101" s="22">
        <f t="shared" si="98"/>
        <v>100000000</v>
      </c>
      <c r="DF101" s="22">
        <f t="shared" si="98"/>
        <v>3117800</v>
      </c>
      <c r="DG101" s="22">
        <f t="shared" si="98"/>
        <v>0</v>
      </c>
      <c r="DH101" s="22">
        <f t="shared" si="98"/>
        <v>0</v>
      </c>
      <c r="DI101" s="22">
        <f t="shared" si="99"/>
        <v>0</v>
      </c>
      <c r="DJ101" s="22">
        <f t="shared" si="99"/>
        <v>0</v>
      </c>
      <c r="DK101" s="22">
        <f t="shared" si="99"/>
        <v>154984845</v>
      </c>
      <c r="DM101" s="26">
        <f t="shared" si="83"/>
        <v>821004004</v>
      </c>
      <c r="DN101" s="26">
        <f t="shared" si="84"/>
        <v>821004004</v>
      </c>
      <c r="DO101" s="26">
        <f t="shared" si="85"/>
        <v>821004004</v>
      </c>
    </row>
    <row r="102" spans="1:119" s="73" customFormat="1" ht="106.5" customHeight="1" x14ac:dyDescent="0.25">
      <c r="A102" s="192"/>
      <c r="B102" s="189"/>
      <c r="C102" s="84" t="s">
        <v>316</v>
      </c>
      <c r="D102" s="19" t="s">
        <v>317</v>
      </c>
      <c r="E102" s="82">
        <v>211</v>
      </c>
      <c r="F102" s="21" t="s">
        <v>318</v>
      </c>
      <c r="G102" s="22">
        <f t="shared" si="91"/>
        <v>322536487</v>
      </c>
      <c r="H102" s="25"/>
      <c r="I102" s="71"/>
      <c r="J102" s="22"/>
      <c r="K102" s="22"/>
      <c r="L102" s="22"/>
      <c r="M102" s="22">
        <v>210796645</v>
      </c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>
        <f>49844416+10267+1325109+19384428+505024+15468663+5000000+9051815+6334831+4815289</f>
        <v>111739842</v>
      </c>
      <c r="AB102" s="72">
        <f t="shared" si="63"/>
        <v>0.22130720050906985</v>
      </c>
      <c r="AC102" s="22">
        <f t="shared" si="92"/>
        <v>71379647</v>
      </c>
      <c r="AD102" s="71"/>
      <c r="AE102" s="71"/>
      <c r="AF102" s="71"/>
      <c r="AG102" s="71"/>
      <c r="AH102" s="71"/>
      <c r="AI102" s="71">
        <f>+'[4]MAYO 2017'!$N$77</f>
        <v>11416500</v>
      </c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>
        <f>+'[5]AGOSTO 2017'!$AC$186</f>
        <v>59963147</v>
      </c>
      <c r="AX102" s="72">
        <f t="shared" si="64"/>
        <v>0.77869279949093018</v>
      </c>
      <c r="AY102" s="22">
        <f t="shared" si="93"/>
        <v>251156840</v>
      </c>
      <c r="AZ102" s="22">
        <f t="shared" si="94"/>
        <v>0</v>
      </c>
      <c r="BA102" s="22">
        <f t="shared" si="94"/>
        <v>0</v>
      </c>
      <c r="BB102" s="22">
        <f t="shared" si="94"/>
        <v>0</v>
      </c>
      <c r="BC102" s="22">
        <f t="shared" si="94"/>
        <v>0</v>
      </c>
      <c r="BD102" s="22">
        <f t="shared" si="94"/>
        <v>0</v>
      </c>
      <c r="BE102" s="22">
        <f t="shared" si="94"/>
        <v>199380145</v>
      </c>
      <c r="BF102" s="22">
        <f t="shared" si="94"/>
        <v>0</v>
      </c>
      <c r="BG102" s="22">
        <f t="shared" si="94"/>
        <v>0</v>
      </c>
      <c r="BH102" s="22">
        <f t="shared" si="94"/>
        <v>0</v>
      </c>
      <c r="BI102" s="22">
        <f t="shared" si="94"/>
        <v>0</v>
      </c>
      <c r="BJ102" s="22">
        <f t="shared" si="94"/>
        <v>0</v>
      </c>
      <c r="BK102" s="22">
        <f t="shared" si="94"/>
        <v>0</v>
      </c>
      <c r="BL102" s="22">
        <f t="shared" si="94"/>
        <v>0</v>
      </c>
      <c r="BM102" s="22">
        <f t="shared" si="94"/>
        <v>0</v>
      </c>
      <c r="BN102" s="22">
        <f t="shared" si="94"/>
        <v>0</v>
      </c>
      <c r="BO102" s="22">
        <f t="shared" si="94"/>
        <v>0</v>
      </c>
      <c r="BP102" s="22">
        <f t="shared" si="95"/>
        <v>0</v>
      </c>
      <c r="BQ102" s="22">
        <f t="shared" si="95"/>
        <v>0</v>
      </c>
      <c r="BR102" s="22">
        <f t="shared" si="95"/>
        <v>0</v>
      </c>
      <c r="BS102" s="22">
        <f t="shared" si="95"/>
        <v>51776695</v>
      </c>
      <c r="BT102" s="72">
        <f t="shared" si="66"/>
        <v>0.20382831601932838</v>
      </c>
      <c r="BU102" s="22">
        <f t="shared" si="96"/>
        <v>65742069</v>
      </c>
      <c r="BV102" s="71"/>
      <c r="BW102" s="71"/>
      <c r="BX102" s="71"/>
      <c r="BY102" s="71"/>
      <c r="BZ102" s="71"/>
      <c r="CA102" s="71">
        <f>+'[3]JUNIO 2017'!$H$111</f>
        <v>11416500</v>
      </c>
      <c r="CB102" s="71"/>
      <c r="CC102" s="71"/>
      <c r="CD102" s="71"/>
      <c r="CE102" s="71"/>
      <c r="CF102" s="71"/>
      <c r="CG102" s="71"/>
      <c r="CH102" s="71"/>
      <c r="CI102" s="71"/>
      <c r="CJ102" s="71"/>
      <c r="CK102" s="71"/>
      <c r="CL102" s="71"/>
      <c r="CM102" s="71"/>
      <c r="CN102" s="71"/>
      <c r="CO102" s="71">
        <f>+'[5]AGOSTO 2017'!$H$184-CA102</f>
        <v>54325569</v>
      </c>
      <c r="CP102" s="72">
        <f t="shared" si="52"/>
        <v>0.79617168398067162</v>
      </c>
      <c r="CQ102" s="22">
        <f t="shared" si="97"/>
        <v>256794418</v>
      </c>
      <c r="CR102" s="22">
        <f t="shared" si="101"/>
        <v>0</v>
      </c>
      <c r="CS102" s="22">
        <f t="shared" si="98"/>
        <v>0</v>
      </c>
      <c r="CT102" s="22">
        <f t="shared" si="98"/>
        <v>0</v>
      </c>
      <c r="CU102" s="22">
        <f t="shared" si="98"/>
        <v>0</v>
      </c>
      <c r="CV102" s="22">
        <f t="shared" si="98"/>
        <v>0</v>
      </c>
      <c r="CW102" s="22">
        <f t="shared" si="98"/>
        <v>199380145</v>
      </c>
      <c r="CX102" s="22">
        <f t="shared" si="98"/>
        <v>0</v>
      </c>
      <c r="CY102" s="22">
        <f t="shared" si="98"/>
        <v>0</v>
      </c>
      <c r="CZ102" s="22">
        <f t="shared" si="98"/>
        <v>0</v>
      </c>
      <c r="DA102" s="22">
        <f t="shared" si="98"/>
        <v>0</v>
      </c>
      <c r="DB102" s="22">
        <f t="shared" si="98"/>
        <v>0</v>
      </c>
      <c r="DC102" s="22">
        <f t="shared" si="98"/>
        <v>0</v>
      </c>
      <c r="DD102" s="22">
        <f t="shared" si="98"/>
        <v>0</v>
      </c>
      <c r="DE102" s="22">
        <f t="shared" si="98"/>
        <v>0</v>
      </c>
      <c r="DF102" s="22">
        <f t="shared" si="98"/>
        <v>0</v>
      </c>
      <c r="DG102" s="22">
        <f t="shared" si="98"/>
        <v>0</v>
      </c>
      <c r="DH102" s="22">
        <f t="shared" si="98"/>
        <v>0</v>
      </c>
      <c r="DI102" s="22">
        <f t="shared" si="99"/>
        <v>0</v>
      </c>
      <c r="DJ102" s="22">
        <f t="shared" si="99"/>
        <v>0</v>
      </c>
      <c r="DK102" s="22">
        <f t="shared" si="99"/>
        <v>57414273</v>
      </c>
      <c r="DM102" s="26">
        <f t="shared" si="83"/>
        <v>322536487</v>
      </c>
      <c r="DN102" s="26">
        <f t="shared" si="84"/>
        <v>322536487</v>
      </c>
      <c r="DO102" s="26">
        <f t="shared" si="85"/>
        <v>322536487</v>
      </c>
    </row>
    <row r="103" spans="1:119" ht="48" x14ac:dyDescent="0.25">
      <c r="A103" s="192"/>
      <c r="B103" s="189"/>
      <c r="C103" s="53" t="s">
        <v>319</v>
      </c>
      <c r="D103" s="31" t="s">
        <v>320</v>
      </c>
      <c r="E103" s="83">
        <v>211</v>
      </c>
      <c r="F103" s="21" t="s">
        <v>321</v>
      </c>
      <c r="G103" s="22">
        <f t="shared" si="91"/>
        <v>239038727</v>
      </c>
      <c r="H103" s="33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>
        <v>200000000</v>
      </c>
      <c r="U103" s="22"/>
      <c r="V103" s="22"/>
      <c r="W103" s="22"/>
      <c r="X103" s="22"/>
      <c r="Y103" s="22"/>
      <c r="Z103" s="22"/>
      <c r="AA103" s="22">
        <f>3000000+1038727+20000000+1000000+10000000+4000000</f>
        <v>39038727</v>
      </c>
      <c r="AB103" s="23">
        <f t="shared" si="63"/>
        <v>0.32251062816277465</v>
      </c>
      <c r="AC103" s="22">
        <f t="shared" si="92"/>
        <v>77092530</v>
      </c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>
        <f>+'[4]MAYO 2017'!$V$85</f>
        <v>49455530</v>
      </c>
      <c r="AQ103" s="22"/>
      <c r="AR103" s="22"/>
      <c r="AS103" s="22"/>
      <c r="AT103" s="22"/>
      <c r="AU103" s="22"/>
      <c r="AV103" s="22"/>
      <c r="AW103" s="71">
        <f>+'[6]JULIO 2017'!$AC$157</f>
        <v>27637000</v>
      </c>
      <c r="AX103" s="23">
        <f t="shared" si="64"/>
        <v>0.67748937183722535</v>
      </c>
      <c r="AY103" s="22">
        <f t="shared" si="93"/>
        <v>161946197</v>
      </c>
      <c r="AZ103" s="22">
        <f t="shared" si="94"/>
        <v>0</v>
      </c>
      <c r="BA103" s="22">
        <f t="shared" si="94"/>
        <v>0</v>
      </c>
      <c r="BB103" s="22">
        <f t="shared" si="94"/>
        <v>0</v>
      </c>
      <c r="BC103" s="22">
        <f t="shared" si="94"/>
        <v>0</v>
      </c>
      <c r="BD103" s="22">
        <f t="shared" si="94"/>
        <v>0</v>
      </c>
      <c r="BE103" s="22">
        <f t="shared" si="94"/>
        <v>0</v>
      </c>
      <c r="BF103" s="22">
        <f t="shared" si="94"/>
        <v>0</v>
      </c>
      <c r="BG103" s="22">
        <f t="shared" si="94"/>
        <v>0</v>
      </c>
      <c r="BH103" s="22">
        <f t="shared" si="94"/>
        <v>0</v>
      </c>
      <c r="BI103" s="22">
        <f t="shared" si="94"/>
        <v>0</v>
      </c>
      <c r="BJ103" s="22">
        <f t="shared" si="94"/>
        <v>0</v>
      </c>
      <c r="BK103" s="22">
        <f t="shared" si="94"/>
        <v>0</v>
      </c>
      <c r="BL103" s="22">
        <f t="shared" si="94"/>
        <v>150544470</v>
      </c>
      <c r="BM103" s="22">
        <f t="shared" si="94"/>
        <v>0</v>
      </c>
      <c r="BN103" s="22">
        <f t="shared" si="94"/>
        <v>0</v>
      </c>
      <c r="BO103" s="22">
        <f t="shared" si="94"/>
        <v>0</v>
      </c>
      <c r="BP103" s="22">
        <f t="shared" si="95"/>
        <v>0</v>
      </c>
      <c r="BQ103" s="22">
        <f t="shared" si="95"/>
        <v>0</v>
      </c>
      <c r="BR103" s="22">
        <f t="shared" si="95"/>
        <v>0</v>
      </c>
      <c r="BS103" s="22">
        <f t="shared" si="95"/>
        <v>11401727</v>
      </c>
      <c r="BT103" s="23">
        <f t="shared" si="66"/>
        <v>0.25462446091423502</v>
      </c>
      <c r="BU103" s="22">
        <f t="shared" si="96"/>
        <v>60865107</v>
      </c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>
        <f>+'[6]JULIO 2017'!$H$160+'[6]JULIO 2017'!$H$163+'[6]JULIO 2017'!$H$165+'[6]JULIO 2017'!$H$167</f>
        <v>49455530</v>
      </c>
      <c r="CI103" s="22"/>
      <c r="CJ103" s="22"/>
      <c r="CK103" s="22"/>
      <c r="CL103" s="22"/>
      <c r="CM103" s="22"/>
      <c r="CN103" s="22"/>
      <c r="CO103" s="22">
        <f>+'[5]AGOSTO 2017'!$H$207-CH103</f>
        <v>11409577</v>
      </c>
      <c r="CP103" s="23">
        <f t="shared" si="52"/>
        <v>0.74537553908576504</v>
      </c>
      <c r="CQ103" s="22">
        <f t="shared" si="97"/>
        <v>178173620</v>
      </c>
      <c r="CR103" s="22">
        <f t="shared" si="101"/>
        <v>0</v>
      </c>
      <c r="CS103" s="22">
        <f t="shared" si="98"/>
        <v>0</v>
      </c>
      <c r="CT103" s="22">
        <f t="shared" si="98"/>
        <v>0</v>
      </c>
      <c r="CU103" s="22">
        <f t="shared" si="98"/>
        <v>0</v>
      </c>
      <c r="CV103" s="22">
        <f t="shared" si="98"/>
        <v>0</v>
      </c>
      <c r="CW103" s="22">
        <f t="shared" si="98"/>
        <v>0</v>
      </c>
      <c r="CX103" s="22">
        <f t="shared" si="98"/>
        <v>0</v>
      </c>
      <c r="CY103" s="22">
        <f t="shared" si="98"/>
        <v>0</v>
      </c>
      <c r="CZ103" s="22">
        <f t="shared" si="98"/>
        <v>0</v>
      </c>
      <c r="DA103" s="22">
        <f t="shared" si="98"/>
        <v>0</v>
      </c>
      <c r="DB103" s="22">
        <f t="shared" si="98"/>
        <v>0</v>
      </c>
      <c r="DC103" s="22">
        <f t="shared" si="98"/>
        <v>0</v>
      </c>
      <c r="DD103" s="22">
        <f t="shared" si="98"/>
        <v>150544470</v>
      </c>
      <c r="DE103" s="22">
        <f t="shared" si="98"/>
        <v>0</v>
      </c>
      <c r="DF103" s="22">
        <f t="shared" si="98"/>
        <v>0</v>
      </c>
      <c r="DG103" s="22">
        <f t="shared" si="98"/>
        <v>0</v>
      </c>
      <c r="DH103" s="22">
        <f t="shared" si="98"/>
        <v>0</v>
      </c>
      <c r="DI103" s="22">
        <f t="shared" si="99"/>
        <v>0</v>
      </c>
      <c r="DJ103" s="22">
        <f t="shared" si="99"/>
        <v>0</v>
      </c>
      <c r="DK103" s="22">
        <f t="shared" si="99"/>
        <v>27629150</v>
      </c>
      <c r="DM103" s="26">
        <f t="shared" si="83"/>
        <v>239038727</v>
      </c>
      <c r="DN103" s="26">
        <f t="shared" si="84"/>
        <v>239038727</v>
      </c>
      <c r="DO103" s="26">
        <f t="shared" si="85"/>
        <v>239038727</v>
      </c>
    </row>
    <row r="104" spans="1:119" ht="31.5" customHeight="1" x14ac:dyDescent="0.25">
      <c r="A104" s="192"/>
      <c r="B104" s="189"/>
      <c r="C104" s="53" t="s">
        <v>322</v>
      </c>
      <c r="D104" s="19" t="s">
        <v>323</v>
      </c>
      <c r="E104" s="83">
        <v>211</v>
      </c>
      <c r="F104" s="21" t="s">
        <v>324</v>
      </c>
      <c r="G104" s="22">
        <f t="shared" si="91"/>
        <v>8765084</v>
      </c>
      <c r="H104" s="33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>
        <f>4000000+1865085+2399999+500000+4000000-4000000</f>
        <v>8765084</v>
      </c>
      <c r="AB104" s="23">
        <f t="shared" si="63"/>
        <v>0.9429554810883729</v>
      </c>
      <c r="AC104" s="22">
        <f t="shared" si="92"/>
        <v>8265084</v>
      </c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>
        <f>+'[5]AGOSTO 2017'!$AC$235</f>
        <v>8265084</v>
      </c>
      <c r="AX104" s="23">
        <f t="shared" si="64"/>
        <v>5.7044518911627096E-2</v>
      </c>
      <c r="AY104" s="22">
        <f t="shared" si="93"/>
        <v>500000</v>
      </c>
      <c r="AZ104" s="22">
        <f t="shared" si="94"/>
        <v>0</v>
      </c>
      <c r="BA104" s="22">
        <f t="shared" si="94"/>
        <v>0</v>
      </c>
      <c r="BB104" s="22">
        <f t="shared" si="94"/>
        <v>0</v>
      </c>
      <c r="BC104" s="22">
        <f t="shared" si="94"/>
        <v>0</v>
      </c>
      <c r="BD104" s="22">
        <f t="shared" si="94"/>
        <v>0</v>
      </c>
      <c r="BE104" s="22">
        <f t="shared" si="94"/>
        <v>0</v>
      </c>
      <c r="BF104" s="22">
        <f t="shared" si="94"/>
        <v>0</v>
      </c>
      <c r="BG104" s="22">
        <f t="shared" si="94"/>
        <v>0</v>
      </c>
      <c r="BH104" s="22">
        <f t="shared" si="94"/>
        <v>0</v>
      </c>
      <c r="BI104" s="22">
        <f t="shared" si="94"/>
        <v>0</v>
      </c>
      <c r="BJ104" s="22">
        <f t="shared" si="94"/>
        <v>0</v>
      </c>
      <c r="BK104" s="22">
        <f t="shared" si="94"/>
        <v>0</v>
      </c>
      <c r="BL104" s="22">
        <f t="shared" si="94"/>
        <v>0</v>
      </c>
      <c r="BM104" s="22">
        <f t="shared" si="94"/>
        <v>0</v>
      </c>
      <c r="BN104" s="22">
        <f t="shared" si="94"/>
        <v>0</v>
      </c>
      <c r="BO104" s="22">
        <f t="shared" si="94"/>
        <v>0</v>
      </c>
      <c r="BP104" s="22">
        <f t="shared" si="95"/>
        <v>0</v>
      </c>
      <c r="BQ104" s="22">
        <f t="shared" si="95"/>
        <v>0</v>
      </c>
      <c r="BR104" s="22">
        <f t="shared" si="95"/>
        <v>0</v>
      </c>
      <c r="BS104" s="22">
        <f t="shared" si="95"/>
        <v>500000</v>
      </c>
      <c r="BT104" s="23">
        <f t="shared" si="66"/>
        <v>0.94286991431000544</v>
      </c>
      <c r="BU104" s="22">
        <f t="shared" si="96"/>
        <v>8264334</v>
      </c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>
        <f>+'[5]AGOSTO 2017'!$H$233</f>
        <v>8264334</v>
      </c>
      <c r="CP104" s="23">
        <f t="shared" si="52"/>
        <v>5.7130085689994559E-2</v>
      </c>
      <c r="CQ104" s="22">
        <f t="shared" si="97"/>
        <v>500750</v>
      </c>
      <c r="CR104" s="22">
        <f t="shared" si="101"/>
        <v>0</v>
      </c>
      <c r="CS104" s="22">
        <f t="shared" si="98"/>
        <v>0</v>
      </c>
      <c r="CT104" s="22">
        <f t="shared" si="98"/>
        <v>0</v>
      </c>
      <c r="CU104" s="22">
        <f t="shared" si="98"/>
        <v>0</v>
      </c>
      <c r="CV104" s="22">
        <f t="shared" si="98"/>
        <v>0</v>
      </c>
      <c r="CW104" s="22">
        <f t="shared" si="98"/>
        <v>0</v>
      </c>
      <c r="CX104" s="22">
        <f t="shared" si="98"/>
        <v>0</v>
      </c>
      <c r="CY104" s="22">
        <f t="shared" si="98"/>
        <v>0</v>
      </c>
      <c r="CZ104" s="22">
        <f t="shared" si="98"/>
        <v>0</v>
      </c>
      <c r="DA104" s="22">
        <f t="shared" si="98"/>
        <v>0</v>
      </c>
      <c r="DB104" s="22">
        <f t="shared" si="98"/>
        <v>0</v>
      </c>
      <c r="DC104" s="22">
        <f t="shared" si="98"/>
        <v>0</v>
      </c>
      <c r="DD104" s="22">
        <f t="shared" si="98"/>
        <v>0</v>
      </c>
      <c r="DE104" s="22">
        <f t="shared" si="98"/>
        <v>0</v>
      </c>
      <c r="DF104" s="22">
        <f t="shared" si="98"/>
        <v>0</v>
      </c>
      <c r="DG104" s="22">
        <f t="shared" si="98"/>
        <v>0</v>
      </c>
      <c r="DH104" s="22">
        <f t="shared" si="98"/>
        <v>0</v>
      </c>
      <c r="DI104" s="22">
        <f t="shared" si="99"/>
        <v>0</v>
      </c>
      <c r="DJ104" s="22">
        <f t="shared" si="99"/>
        <v>0</v>
      </c>
      <c r="DK104" s="22">
        <f t="shared" si="99"/>
        <v>500750</v>
      </c>
      <c r="DM104" s="26">
        <f t="shared" si="83"/>
        <v>8765084</v>
      </c>
      <c r="DN104" s="26">
        <f t="shared" si="84"/>
        <v>8765084</v>
      </c>
      <c r="DO104" s="26">
        <f t="shared" si="85"/>
        <v>8765084</v>
      </c>
    </row>
    <row r="105" spans="1:119" ht="27" customHeight="1" x14ac:dyDescent="0.25">
      <c r="A105" s="192"/>
      <c r="B105" s="189"/>
      <c r="C105" s="53" t="s">
        <v>325</v>
      </c>
      <c r="D105" s="19" t="s">
        <v>326</v>
      </c>
      <c r="E105" s="83">
        <v>211</v>
      </c>
      <c r="F105" s="21" t="s">
        <v>327</v>
      </c>
      <c r="G105" s="22">
        <f t="shared" si="91"/>
        <v>360351833</v>
      </c>
      <c r="H105" s="33"/>
      <c r="I105" s="22"/>
      <c r="J105" s="22">
        <f>450000000-94648167</f>
        <v>355351833</v>
      </c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>
        <f>5000000</f>
        <v>5000000</v>
      </c>
      <c r="AB105" s="23">
        <f t="shared" si="63"/>
        <v>0.9830196562369089</v>
      </c>
      <c r="AC105" s="22">
        <f t="shared" si="92"/>
        <v>354232935</v>
      </c>
      <c r="AD105" s="22"/>
      <c r="AE105" s="22"/>
      <c r="AF105" s="22">
        <f>+'[5]AGOSTO 2017'!$L$251</f>
        <v>354232935</v>
      </c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3">
        <f t="shared" si="64"/>
        <v>1.6980343763091099E-2</v>
      </c>
      <c r="AY105" s="22">
        <f t="shared" si="93"/>
        <v>6118898</v>
      </c>
      <c r="AZ105" s="22">
        <f t="shared" si="94"/>
        <v>0</v>
      </c>
      <c r="BA105" s="22">
        <f t="shared" si="94"/>
        <v>0</v>
      </c>
      <c r="BB105" s="22">
        <f t="shared" si="94"/>
        <v>1118898</v>
      </c>
      <c r="BC105" s="22">
        <f t="shared" si="94"/>
        <v>0</v>
      </c>
      <c r="BD105" s="22">
        <f t="shared" si="94"/>
        <v>0</v>
      </c>
      <c r="BE105" s="22">
        <f t="shared" si="94"/>
        <v>0</v>
      </c>
      <c r="BF105" s="22">
        <f t="shared" si="94"/>
        <v>0</v>
      </c>
      <c r="BG105" s="22">
        <f t="shared" si="94"/>
        <v>0</v>
      </c>
      <c r="BH105" s="22">
        <f t="shared" si="94"/>
        <v>0</v>
      </c>
      <c r="BI105" s="22">
        <f t="shared" si="94"/>
        <v>0</v>
      </c>
      <c r="BJ105" s="22">
        <f t="shared" si="94"/>
        <v>0</v>
      </c>
      <c r="BK105" s="22">
        <f t="shared" si="94"/>
        <v>0</v>
      </c>
      <c r="BL105" s="22">
        <f t="shared" si="94"/>
        <v>0</v>
      </c>
      <c r="BM105" s="22">
        <f t="shared" si="94"/>
        <v>0</v>
      </c>
      <c r="BN105" s="22">
        <f t="shared" si="94"/>
        <v>0</v>
      </c>
      <c r="BO105" s="22">
        <f t="shared" si="94"/>
        <v>0</v>
      </c>
      <c r="BP105" s="22">
        <f t="shared" si="95"/>
        <v>0</v>
      </c>
      <c r="BQ105" s="22">
        <f t="shared" si="95"/>
        <v>0</v>
      </c>
      <c r="BR105" s="22">
        <f t="shared" si="95"/>
        <v>0</v>
      </c>
      <c r="BS105" s="22">
        <f t="shared" si="95"/>
        <v>5000000</v>
      </c>
      <c r="BT105" s="23">
        <f t="shared" si="66"/>
        <v>0.98301965346184317</v>
      </c>
      <c r="BU105" s="22">
        <f t="shared" si="96"/>
        <v>354232934</v>
      </c>
      <c r="BV105" s="22"/>
      <c r="BW105" s="22"/>
      <c r="BX105" s="22">
        <f>+'[5]AGOSTO 2017'!$H$249</f>
        <v>354232934</v>
      </c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3">
        <f t="shared" si="52"/>
        <v>1.6980346538156832E-2</v>
      </c>
      <c r="CQ105" s="22">
        <f t="shared" si="97"/>
        <v>6118899</v>
      </c>
      <c r="CR105" s="22">
        <f t="shared" si="101"/>
        <v>0</v>
      </c>
      <c r="CS105" s="22">
        <f t="shared" si="98"/>
        <v>0</v>
      </c>
      <c r="CT105" s="22">
        <f t="shared" si="98"/>
        <v>1118899</v>
      </c>
      <c r="CU105" s="22">
        <f t="shared" si="98"/>
        <v>0</v>
      </c>
      <c r="CV105" s="22">
        <f t="shared" si="98"/>
        <v>0</v>
      </c>
      <c r="CW105" s="22">
        <f t="shared" si="98"/>
        <v>0</v>
      </c>
      <c r="CX105" s="22">
        <f t="shared" si="98"/>
        <v>0</v>
      </c>
      <c r="CY105" s="22">
        <f t="shared" si="98"/>
        <v>0</v>
      </c>
      <c r="CZ105" s="22">
        <f t="shared" si="98"/>
        <v>0</v>
      </c>
      <c r="DA105" s="22">
        <f t="shared" si="98"/>
        <v>0</v>
      </c>
      <c r="DB105" s="22">
        <f t="shared" si="98"/>
        <v>0</v>
      </c>
      <c r="DC105" s="22">
        <f t="shared" si="98"/>
        <v>0</v>
      </c>
      <c r="DD105" s="22">
        <f t="shared" si="98"/>
        <v>0</v>
      </c>
      <c r="DE105" s="22">
        <f t="shared" si="98"/>
        <v>0</v>
      </c>
      <c r="DF105" s="22">
        <f t="shared" si="98"/>
        <v>0</v>
      </c>
      <c r="DG105" s="22">
        <f t="shared" si="98"/>
        <v>0</v>
      </c>
      <c r="DH105" s="22">
        <f t="shared" si="98"/>
        <v>0</v>
      </c>
      <c r="DI105" s="22">
        <f t="shared" si="99"/>
        <v>0</v>
      </c>
      <c r="DJ105" s="22">
        <f t="shared" si="99"/>
        <v>0</v>
      </c>
      <c r="DK105" s="22">
        <f t="shared" si="99"/>
        <v>5000000</v>
      </c>
      <c r="DM105" s="26">
        <f t="shared" si="83"/>
        <v>360351833</v>
      </c>
      <c r="DN105" s="26">
        <f t="shared" si="84"/>
        <v>360351833</v>
      </c>
      <c r="DO105" s="26">
        <f t="shared" si="85"/>
        <v>360351833</v>
      </c>
    </row>
    <row r="106" spans="1:119" ht="24" customHeight="1" x14ac:dyDescent="0.25">
      <c r="A106" s="192"/>
      <c r="B106" s="189"/>
      <c r="C106" s="53" t="s">
        <v>328</v>
      </c>
      <c r="D106" s="19" t="s">
        <v>329</v>
      </c>
      <c r="E106" s="83">
        <v>211</v>
      </c>
      <c r="F106" s="21" t="s">
        <v>330</v>
      </c>
      <c r="G106" s="22">
        <f t="shared" si="91"/>
        <v>359648167</v>
      </c>
      <c r="H106" s="33"/>
      <c r="I106" s="22">
        <v>112000000</v>
      </c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>
        <f>153000000+94648167</f>
        <v>247648167</v>
      </c>
      <c r="W106" s="22"/>
      <c r="X106" s="22"/>
      <c r="Y106" s="22"/>
      <c r="Z106" s="22"/>
      <c r="AA106" s="22"/>
      <c r="AB106" s="23">
        <f t="shared" si="63"/>
        <v>0.99721158595533732</v>
      </c>
      <c r="AC106" s="22">
        <f t="shared" si="92"/>
        <v>358645319</v>
      </c>
      <c r="AD106" s="22"/>
      <c r="AE106" s="22">
        <f>+'[3]JUNIO 2017'!$K$162</f>
        <v>110997152</v>
      </c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>
        <f>+'[6]JULIO 2017'!$X$212</f>
        <v>247648167</v>
      </c>
      <c r="AS106" s="22"/>
      <c r="AT106" s="22"/>
      <c r="AU106" s="22"/>
      <c r="AV106" s="22"/>
      <c r="AW106" s="22"/>
      <c r="AX106" s="23">
        <f t="shared" si="64"/>
        <v>2.7884140446626793E-3</v>
      </c>
      <c r="AY106" s="22">
        <f t="shared" si="93"/>
        <v>1002848</v>
      </c>
      <c r="AZ106" s="22">
        <f t="shared" si="94"/>
        <v>0</v>
      </c>
      <c r="BA106" s="22">
        <f t="shared" si="94"/>
        <v>1002848</v>
      </c>
      <c r="BB106" s="22">
        <f t="shared" si="94"/>
        <v>0</v>
      </c>
      <c r="BC106" s="22">
        <f t="shared" si="94"/>
        <v>0</v>
      </c>
      <c r="BD106" s="22">
        <f t="shared" si="94"/>
        <v>0</v>
      </c>
      <c r="BE106" s="22">
        <f t="shared" si="94"/>
        <v>0</v>
      </c>
      <c r="BF106" s="22">
        <f t="shared" si="94"/>
        <v>0</v>
      </c>
      <c r="BG106" s="22">
        <f t="shared" si="94"/>
        <v>0</v>
      </c>
      <c r="BH106" s="22">
        <f t="shared" si="94"/>
        <v>0</v>
      </c>
      <c r="BI106" s="22">
        <f t="shared" si="94"/>
        <v>0</v>
      </c>
      <c r="BJ106" s="22">
        <f t="shared" si="94"/>
        <v>0</v>
      </c>
      <c r="BK106" s="22">
        <f t="shared" si="94"/>
        <v>0</v>
      </c>
      <c r="BL106" s="22">
        <f t="shared" si="94"/>
        <v>0</v>
      </c>
      <c r="BM106" s="22">
        <f t="shared" si="94"/>
        <v>0</v>
      </c>
      <c r="BN106" s="22">
        <f t="shared" si="94"/>
        <v>0</v>
      </c>
      <c r="BO106" s="22">
        <f t="shared" si="94"/>
        <v>0</v>
      </c>
      <c r="BP106" s="22">
        <f t="shared" si="95"/>
        <v>0</v>
      </c>
      <c r="BQ106" s="22">
        <f t="shared" si="95"/>
        <v>0</v>
      </c>
      <c r="BR106" s="22">
        <f t="shared" si="95"/>
        <v>0</v>
      </c>
      <c r="BS106" s="22">
        <f t="shared" si="95"/>
        <v>0</v>
      </c>
      <c r="BT106" s="23">
        <f t="shared" si="66"/>
        <v>0.97380562209288279</v>
      </c>
      <c r="BU106" s="22">
        <f t="shared" si="96"/>
        <v>350227407</v>
      </c>
      <c r="BV106" s="22"/>
      <c r="BW106" s="22">
        <f>+'[6]JULIO 2017'!$H$217</f>
        <v>110832974</v>
      </c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>
        <f>+'[6]JULIO 2017'!$H$210-BW106</f>
        <v>239394433</v>
      </c>
      <c r="CK106" s="22"/>
      <c r="CL106" s="22"/>
      <c r="CM106" s="22"/>
      <c r="CN106" s="22"/>
      <c r="CO106" s="22"/>
      <c r="CP106" s="23">
        <f t="shared" si="52"/>
        <v>2.6194377907117206E-2</v>
      </c>
      <c r="CQ106" s="22">
        <f t="shared" si="97"/>
        <v>9420760</v>
      </c>
      <c r="CR106" s="22">
        <f t="shared" si="101"/>
        <v>0</v>
      </c>
      <c r="CS106" s="22">
        <f t="shared" si="98"/>
        <v>1167026</v>
      </c>
      <c r="CT106" s="22">
        <f t="shared" si="98"/>
        <v>0</v>
      </c>
      <c r="CU106" s="22">
        <f t="shared" si="98"/>
        <v>0</v>
      </c>
      <c r="CV106" s="22">
        <f t="shared" si="98"/>
        <v>0</v>
      </c>
      <c r="CW106" s="22">
        <f t="shared" si="98"/>
        <v>0</v>
      </c>
      <c r="CX106" s="22">
        <f t="shared" si="98"/>
        <v>0</v>
      </c>
      <c r="CY106" s="22">
        <f t="shared" si="98"/>
        <v>0</v>
      </c>
      <c r="CZ106" s="22">
        <f t="shared" si="98"/>
        <v>0</v>
      </c>
      <c r="DA106" s="22">
        <f t="shared" si="98"/>
        <v>0</v>
      </c>
      <c r="DB106" s="22">
        <f t="shared" si="98"/>
        <v>0</v>
      </c>
      <c r="DC106" s="22">
        <f t="shared" si="98"/>
        <v>0</v>
      </c>
      <c r="DD106" s="22">
        <f t="shared" si="98"/>
        <v>0</v>
      </c>
      <c r="DE106" s="22">
        <f t="shared" si="98"/>
        <v>0</v>
      </c>
      <c r="DF106" s="22">
        <f t="shared" si="98"/>
        <v>8253734</v>
      </c>
      <c r="DG106" s="22">
        <f t="shared" si="98"/>
        <v>0</v>
      </c>
      <c r="DH106" s="22">
        <f t="shared" si="98"/>
        <v>0</v>
      </c>
      <c r="DI106" s="22">
        <f t="shared" si="99"/>
        <v>0</v>
      </c>
      <c r="DJ106" s="22">
        <f t="shared" si="99"/>
        <v>0</v>
      </c>
      <c r="DK106" s="22">
        <f t="shared" si="99"/>
        <v>0</v>
      </c>
      <c r="DM106" s="26">
        <f t="shared" si="83"/>
        <v>359648167</v>
      </c>
      <c r="DN106" s="26">
        <f t="shared" si="84"/>
        <v>359648167</v>
      </c>
      <c r="DO106" s="26">
        <f t="shared" si="85"/>
        <v>359648167</v>
      </c>
    </row>
    <row r="107" spans="1:119" s="73" customFormat="1" ht="45.75" customHeight="1" x14ac:dyDescent="0.25">
      <c r="A107" s="58"/>
      <c r="B107" s="19" t="s">
        <v>331</v>
      </c>
      <c r="C107" s="84" t="s">
        <v>332</v>
      </c>
      <c r="D107" s="19" t="s">
        <v>333</v>
      </c>
      <c r="E107" s="82" t="s">
        <v>334</v>
      </c>
      <c r="F107" s="21" t="s">
        <v>335</v>
      </c>
      <c r="G107" s="22">
        <f t="shared" si="91"/>
        <v>823639235</v>
      </c>
      <c r="H107" s="25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>
        <v>123182603</v>
      </c>
      <c r="V107" s="22"/>
      <c r="W107" s="22"/>
      <c r="X107" s="22"/>
      <c r="Y107" s="22">
        <f>300856785+366514874</f>
        <v>667371659</v>
      </c>
      <c r="Z107" s="22">
        <v>33084973</v>
      </c>
      <c r="AA107" s="22"/>
      <c r="AB107" s="72">
        <f t="shared" si="63"/>
        <v>1</v>
      </c>
      <c r="AC107" s="22">
        <f t="shared" si="92"/>
        <v>823639235</v>
      </c>
      <c r="AD107" s="71"/>
      <c r="AE107" s="71"/>
      <c r="AF107" s="71"/>
      <c r="AG107" s="71"/>
      <c r="AH107" s="71"/>
      <c r="AI107" s="71"/>
      <c r="AJ107" s="71"/>
      <c r="AK107" s="71"/>
      <c r="AL107" s="71"/>
      <c r="AM107" s="71"/>
      <c r="AN107" s="71"/>
      <c r="AO107" s="71"/>
      <c r="AP107" s="71"/>
      <c r="AQ107" s="71">
        <f>+'[5]AGOSTO 2017'!$W$3337</f>
        <v>123182603</v>
      </c>
      <c r="AR107" s="71"/>
      <c r="AS107" s="71"/>
      <c r="AT107" s="71"/>
      <c r="AU107" s="71">
        <f>+'[8]ABRIL 2017'!$AA$1559</f>
        <v>667371659</v>
      </c>
      <c r="AV107" s="71">
        <f>+'[1]ENERO 2017'!$S$891</f>
        <v>33084973</v>
      </c>
      <c r="AW107" s="71"/>
      <c r="AX107" s="72">
        <f t="shared" si="64"/>
        <v>0</v>
      </c>
      <c r="AY107" s="22">
        <f t="shared" si="93"/>
        <v>0</v>
      </c>
      <c r="AZ107" s="22">
        <f t="shared" si="94"/>
        <v>0</v>
      </c>
      <c r="BA107" s="22">
        <f t="shared" si="94"/>
        <v>0</v>
      </c>
      <c r="BB107" s="22">
        <f t="shared" si="94"/>
        <v>0</v>
      </c>
      <c r="BC107" s="22">
        <f t="shared" si="94"/>
        <v>0</v>
      </c>
      <c r="BD107" s="22">
        <f t="shared" si="94"/>
        <v>0</v>
      </c>
      <c r="BE107" s="22">
        <f t="shared" si="94"/>
        <v>0</v>
      </c>
      <c r="BF107" s="22">
        <f t="shared" si="94"/>
        <v>0</v>
      </c>
      <c r="BG107" s="22">
        <f t="shared" si="94"/>
        <v>0</v>
      </c>
      <c r="BH107" s="22">
        <f t="shared" si="94"/>
        <v>0</v>
      </c>
      <c r="BI107" s="22">
        <f t="shared" si="94"/>
        <v>0</v>
      </c>
      <c r="BJ107" s="22">
        <f t="shared" si="94"/>
        <v>0</v>
      </c>
      <c r="BK107" s="22">
        <f t="shared" si="94"/>
        <v>0</v>
      </c>
      <c r="BL107" s="22">
        <f t="shared" si="94"/>
        <v>0</v>
      </c>
      <c r="BM107" s="22">
        <f t="shared" si="94"/>
        <v>0</v>
      </c>
      <c r="BN107" s="22">
        <f t="shared" si="94"/>
        <v>0</v>
      </c>
      <c r="BO107" s="22">
        <f t="shared" si="94"/>
        <v>0</v>
      </c>
      <c r="BP107" s="22">
        <f t="shared" si="95"/>
        <v>0</v>
      </c>
      <c r="BQ107" s="22">
        <f t="shared" si="95"/>
        <v>0</v>
      </c>
      <c r="BR107" s="22">
        <f t="shared" si="95"/>
        <v>0</v>
      </c>
      <c r="BS107" s="22">
        <f t="shared" si="95"/>
        <v>0</v>
      </c>
      <c r="BT107" s="72">
        <f t="shared" si="66"/>
        <v>0.75743387819546992</v>
      </c>
      <c r="BU107" s="22">
        <f t="shared" si="96"/>
        <v>623852260</v>
      </c>
      <c r="BV107" s="71"/>
      <c r="BW107" s="71"/>
      <c r="BX107" s="71"/>
      <c r="BY107" s="71"/>
      <c r="BZ107" s="71"/>
      <c r="CA107" s="71"/>
      <c r="CB107" s="71"/>
      <c r="CC107" s="71"/>
      <c r="CD107" s="71"/>
      <c r="CE107" s="71"/>
      <c r="CF107" s="71"/>
      <c r="CG107" s="71"/>
      <c r="CH107" s="71"/>
      <c r="CI107" s="71"/>
      <c r="CJ107" s="71"/>
      <c r="CK107" s="71"/>
      <c r="CL107" s="71"/>
      <c r="CM107" s="71">
        <f>+'[5]AGOSTO 2017'!$H$3338+'[5]AGOSTO 2017'!$H$3359</f>
        <v>591018660</v>
      </c>
      <c r="CN107" s="71">
        <f>+'[5]AGOSTO 2017'!$H$3355</f>
        <v>32833600</v>
      </c>
      <c r="CO107" s="71"/>
      <c r="CP107" s="72">
        <f t="shared" si="52"/>
        <v>0.24256612180453008</v>
      </c>
      <c r="CQ107" s="22">
        <f t="shared" si="97"/>
        <v>199786975</v>
      </c>
      <c r="CR107" s="22">
        <f t="shared" si="101"/>
        <v>0</v>
      </c>
      <c r="CS107" s="22">
        <f t="shared" si="98"/>
        <v>0</v>
      </c>
      <c r="CT107" s="22">
        <f t="shared" si="98"/>
        <v>0</v>
      </c>
      <c r="CU107" s="22">
        <f t="shared" si="98"/>
        <v>0</v>
      </c>
      <c r="CV107" s="22">
        <f t="shared" si="98"/>
        <v>0</v>
      </c>
      <c r="CW107" s="22">
        <f t="shared" si="98"/>
        <v>0</v>
      </c>
      <c r="CX107" s="22">
        <f t="shared" si="98"/>
        <v>0</v>
      </c>
      <c r="CY107" s="22">
        <f t="shared" si="98"/>
        <v>0</v>
      </c>
      <c r="CZ107" s="22">
        <f t="shared" si="98"/>
        <v>0</v>
      </c>
      <c r="DA107" s="22">
        <f t="shared" si="98"/>
        <v>0</v>
      </c>
      <c r="DB107" s="22">
        <f t="shared" si="98"/>
        <v>0</v>
      </c>
      <c r="DC107" s="22">
        <f t="shared" si="98"/>
        <v>0</v>
      </c>
      <c r="DD107" s="22">
        <f t="shared" si="98"/>
        <v>0</v>
      </c>
      <c r="DE107" s="22">
        <f t="shared" si="98"/>
        <v>123182603</v>
      </c>
      <c r="DF107" s="22">
        <f t="shared" si="98"/>
        <v>0</v>
      </c>
      <c r="DG107" s="22">
        <f t="shared" si="98"/>
        <v>0</v>
      </c>
      <c r="DH107" s="22">
        <f t="shared" si="98"/>
        <v>0</v>
      </c>
      <c r="DI107" s="22">
        <f t="shared" si="99"/>
        <v>76352999</v>
      </c>
      <c r="DJ107" s="22">
        <f t="shared" si="99"/>
        <v>251373</v>
      </c>
      <c r="DK107" s="22">
        <f t="shared" si="99"/>
        <v>0</v>
      </c>
      <c r="DM107" s="26">
        <f t="shared" si="83"/>
        <v>823639235</v>
      </c>
      <c r="DN107" s="26">
        <f t="shared" si="84"/>
        <v>823639235</v>
      </c>
      <c r="DO107" s="26">
        <f t="shared" si="85"/>
        <v>823639235</v>
      </c>
    </row>
    <row r="108" spans="1:119" ht="36.75" customHeight="1" x14ac:dyDescent="0.25">
      <c r="A108" s="192" t="s">
        <v>292</v>
      </c>
      <c r="B108" s="200" t="s">
        <v>336</v>
      </c>
      <c r="C108" s="53" t="s">
        <v>337</v>
      </c>
      <c r="D108" s="19" t="s">
        <v>338</v>
      </c>
      <c r="E108" s="83">
        <v>510</v>
      </c>
      <c r="F108" s="21" t="s">
        <v>339</v>
      </c>
      <c r="G108" s="22">
        <f t="shared" si="91"/>
        <v>120238283</v>
      </c>
      <c r="H108" s="22"/>
      <c r="I108" s="22">
        <f>115954283+4284000</f>
        <v>120238283</v>
      </c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3">
        <f t="shared" si="63"/>
        <v>0.9794406911149921</v>
      </c>
      <c r="AC108" s="22">
        <f t="shared" si="92"/>
        <v>117766267</v>
      </c>
      <c r="AD108" s="22"/>
      <c r="AE108" s="22">
        <f>+'[6]JULIO 2017'!$K$2296</f>
        <v>117766267</v>
      </c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3">
        <f t="shared" si="64"/>
        <v>2.0559308885007899E-2</v>
      </c>
      <c r="AY108" s="22">
        <f t="shared" si="93"/>
        <v>2472016</v>
      </c>
      <c r="AZ108" s="22">
        <f t="shared" si="94"/>
        <v>0</v>
      </c>
      <c r="BA108" s="22">
        <f t="shared" si="94"/>
        <v>2472016</v>
      </c>
      <c r="BB108" s="22">
        <f t="shared" si="94"/>
        <v>0</v>
      </c>
      <c r="BC108" s="22">
        <f t="shared" si="94"/>
        <v>0</v>
      </c>
      <c r="BD108" s="22">
        <f t="shared" si="94"/>
        <v>0</v>
      </c>
      <c r="BE108" s="22">
        <f t="shared" si="94"/>
        <v>0</v>
      </c>
      <c r="BF108" s="22">
        <f t="shared" si="94"/>
        <v>0</v>
      </c>
      <c r="BG108" s="22">
        <f t="shared" si="94"/>
        <v>0</v>
      </c>
      <c r="BH108" s="22">
        <f t="shared" si="94"/>
        <v>0</v>
      </c>
      <c r="BI108" s="22">
        <f t="shared" si="94"/>
        <v>0</v>
      </c>
      <c r="BJ108" s="22">
        <f t="shared" si="94"/>
        <v>0</v>
      </c>
      <c r="BK108" s="22">
        <f t="shared" si="94"/>
        <v>0</v>
      </c>
      <c r="BL108" s="22">
        <f t="shared" si="94"/>
        <v>0</v>
      </c>
      <c r="BM108" s="22">
        <f t="shared" si="94"/>
        <v>0</v>
      </c>
      <c r="BN108" s="22">
        <f t="shared" si="94"/>
        <v>0</v>
      </c>
      <c r="BO108" s="22">
        <f t="shared" si="94"/>
        <v>0</v>
      </c>
      <c r="BP108" s="22">
        <f t="shared" si="95"/>
        <v>0</v>
      </c>
      <c r="BQ108" s="22">
        <f t="shared" si="95"/>
        <v>0</v>
      </c>
      <c r="BR108" s="22">
        <f t="shared" si="95"/>
        <v>0</v>
      </c>
      <c r="BS108" s="22">
        <f t="shared" si="95"/>
        <v>0</v>
      </c>
      <c r="BT108" s="23">
        <f t="shared" si="66"/>
        <v>0.97710695020486948</v>
      </c>
      <c r="BU108" s="22">
        <f t="shared" si="96"/>
        <v>117485662</v>
      </c>
      <c r="BV108" s="22"/>
      <c r="BW108" s="22">
        <f>+'[5]AGOSTO 2017'!$H$2633</f>
        <v>117485662</v>
      </c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3">
        <f t="shared" si="52"/>
        <v>2.2893049795130516E-2</v>
      </c>
      <c r="CQ108" s="22">
        <f t="shared" si="97"/>
        <v>2752621</v>
      </c>
      <c r="CR108" s="22">
        <f t="shared" si="101"/>
        <v>0</v>
      </c>
      <c r="CS108" s="22">
        <f t="shared" si="98"/>
        <v>2752621</v>
      </c>
      <c r="CT108" s="22">
        <f t="shared" si="98"/>
        <v>0</v>
      </c>
      <c r="CU108" s="22">
        <f t="shared" si="98"/>
        <v>0</v>
      </c>
      <c r="CV108" s="22">
        <f t="shared" si="98"/>
        <v>0</v>
      </c>
      <c r="CW108" s="22">
        <f t="shared" si="98"/>
        <v>0</v>
      </c>
      <c r="CX108" s="22">
        <f t="shared" si="98"/>
        <v>0</v>
      </c>
      <c r="CY108" s="22">
        <f t="shared" si="98"/>
        <v>0</v>
      </c>
      <c r="CZ108" s="22">
        <f t="shared" si="98"/>
        <v>0</v>
      </c>
      <c r="DA108" s="22">
        <f t="shared" si="98"/>
        <v>0</v>
      </c>
      <c r="DB108" s="22">
        <f t="shared" si="98"/>
        <v>0</v>
      </c>
      <c r="DC108" s="22">
        <f t="shared" si="98"/>
        <v>0</v>
      </c>
      <c r="DD108" s="22">
        <f t="shared" si="98"/>
        <v>0</v>
      </c>
      <c r="DE108" s="22">
        <f t="shared" si="98"/>
        <v>0</v>
      </c>
      <c r="DF108" s="22">
        <f t="shared" si="98"/>
        <v>0</v>
      </c>
      <c r="DG108" s="22">
        <f t="shared" si="98"/>
        <v>0</v>
      </c>
      <c r="DH108" s="22">
        <f t="shared" si="98"/>
        <v>0</v>
      </c>
      <c r="DI108" s="22">
        <f t="shared" si="99"/>
        <v>0</v>
      </c>
      <c r="DJ108" s="22">
        <f t="shared" si="99"/>
        <v>0</v>
      </c>
      <c r="DK108" s="22">
        <f t="shared" si="99"/>
        <v>0</v>
      </c>
      <c r="DM108" s="26">
        <f t="shared" si="83"/>
        <v>120238283</v>
      </c>
      <c r="DN108" s="26">
        <f t="shared" si="84"/>
        <v>120238283</v>
      </c>
      <c r="DO108" s="26">
        <f t="shared" si="85"/>
        <v>120238283</v>
      </c>
    </row>
    <row r="109" spans="1:119" ht="51" customHeight="1" x14ac:dyDescent="0.25">
      <c r="A109" s="192"/>
      <c r="B109" s="201"/>
      <c r="C109" s="53" t="s">
        <v>340</v>
      </c>
      <c r="D109" s="19" t="s">
        <v>341</v>
      </c>
      <c r="E109" s="83">
        <v>510</v>
      </c>
      <c r="F109" s="21" t="s">
        <v>339</v>
      </c>
      <c r="G109" s="22">
        <f t="shared" si="91"/>
        <v>134000000</v>
      </c>
      <c r="H109" s="22"/>
      <c r="I109" s="22">
        <v>134000000</v>
      </c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3">
        <f t="shared" si="63"/>
        <v>0.97124261940298506</v>
      </c>
      <c r="AC109" s="22">
        <f t="shared" si="92"/>
        <v>130146511</v>
      </c>
      <c r="AD109" s="22"/>
      <c r="AE109" s="22">
        <f>+'[6]JULIO 2017'!$K$2313</f>
        <v>130146511</v>
      </c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3">
        <f t="shared" si="64"/>
        <v>2.8757380597014937E-2</v>
      </c>
      <c r="AY109" s="22">
        <f t="shared" si="93"/>
        <v>3853489</v>
      </c>
      <c r="AZ109" s="22">
        <f t="shared" si="94"/>
        <v>0</v>
      </c>
      <c r="BA109" s="22">
        <f t="shared" si="94"/>
        <v>3853489</v>
      </c>
      <c r="BB109" s="22">
        <f t="shared" si="94"/>
        <v>0</v>
      </c>
      <c r="BC109" s="22">
        <f t="shared" si="94"/>
        <v>0</v>
      </c>
      <c r="BD109" s="22">
        <f t="shared" si="94"/>
        <v>0</v>
      </c>
      <c r="BE109" s="22">
        <f t="shared" si="94"/>
        <v>0</v>
      </c>
      <c r="BF109" s="22">
        <f t="shared" si="94"/>
        <v>0</v>
      </c>
      <c r="BG109" s="22">
        <f t="shared" si="94"/>
        <v>0</v>
      </c>
      <c r="BH109" s="22">
        <f t="shared" si="94"/>
        <v>0</v>
      </c>
      <c r="BI109" s="22">
        <f t="shared" si="94"/>
        <v>0</v>
      </c>
      <c r="BJ109" s="22">
        <f t="shared" si="94"/>
        <v>0</v>
      </c>
      <c r="BK109" s="22">
        <f t="shared" si="94"/>
        <v>0</v>
      </c>
      <c r="BL109" s="22">
        <f t="shared" si="94"/>
        <v>0</v>
      </c>
      <c r="BM109" s="22">
        <f t="shared" si="94"/>
        <v>0</v>
      </c>
      <c r="BN109" s="22">
        <f t="shared" si="94"/>
        <v>0</v>
      </c>
      <c r="BO109" s="22">
        <f t="shared" si="94"/>
        <v>0</v>
      </c>
      <c r="BP109" s="22">
        <f t="shared" si="95"/>
        <v>0</v>
      </c>
      <c r="BQ109" s="22">
        <f t="shared" si="95"/>
        <v>0</v>
      </c>
      <c r="BR109" s="22">
        <f t="shared" si="95"/>
        <v>0</v>
      </c>
      <c r="BS109" s="22">
        <f t="shared" si="95"/>
        <v>0</v>
      </c>
      <c r="BT109" s="23">
        <f t="shared" si="66"/>
        <v>0.97124261940298506</v>
      </c>
      <c r="BU109" s="22">
        <f t="shared" si="96"/>
        <v>130146511</v>
      </c>
      <c r="BV109" s="22"/>
      <c r="BW109" s="22">
        <f>+'[5]AGOSTO 2017'!$H$2651</f>
        <v>130146511</v>
      </c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3">
        <f t="shared" si="52"/>
        <v>2.8757380597014937E-2</v>
      </c>
      <c r="CQ109" s="22">
        <f t="shared" si="97"/>
        <v>3853489</v>
      </c>
      <c r="CR109" s="22">
        <f t="shared" si="101"/>
        <v>0</v>
      </c>
      <c r="CS109" s="22">
        <f t="shared" si="98"/>
        <v>3853489</v>
      </c>
      <c r="CT109" s="22">
        <f t="shared" si="98"/>
        <v>0</v>
      </c>
      <c r="CU109" s="22">
        <f t="shared" si="98"/>
        <v>0</v>
      </c>
      <c r="CV109" s="22">
        <f t="shared" si="98"/>
        <v>0</v>
      </c>
      <c r="CW109" s="22">
        <f t="shared" si="98"/>
        <v>0</v>
      </c>
      <c r="CX109" s="22">
        <f t="shared" si="98"/>
        <v>0</v>
      </c>
      <c r="CY109" s="22">
        <f t="shared" si="98"/>
        <v>0</v>
      </c>
      <c r="CZ109" s="22">
        <f t="shared" si="98"/>
        <v>0</v>
      </c>
      <c r="DA109" s="22">
        <f t="shared" si="98"/>
        <v>0</v>
      </c>
      <c r="DB109" s="22">
        <f t="shared" si="98"/>
        <v>0</v>
      </c>
      <c r="DC109" s="22">
        <f t="shared" si="98"/>
        <v>0</v>
      </c>
      <c r="DD109" s="22">
        <f t="shared" si="98"/>
        <v>0</v>
      </c>
      <c r="DE109" s="22">
        <f t="shared" si="98"/>
        <v>0</v>
      </c>
      <c r="DF109" s="22">
        <f t="shared" si="98"/>
        <v>0</v>
      </c>
      <c r="DG109" s="22">
        <f t="shared" si="98"/>
        <v>0</v>
      </c>
      <c r="DH109" s="22">
        <f t="shared" si="98"/>
        <v>0</v>
      </c>
      <c r="DI109" s="22">
        <f t="shared" si="99"/>
        <v>0</v>
      </c>
      <c r="DJ109" s="22">
        <f t="shared" si="99"/>
        <v>0</v>
      </c>
      <c r="DK109" s="22">
        <f t="shared" si="99"/>
        <v>0</v>
      </c>
      <c r="DM109" s="26">
        <f t="shared" si="83"/>
        <v>134000000</v>
      </c>
      <c r="DN109" s="26">
        <f t="shared" si="84"/>
        <v>134000000</v>
      </c>
      <c r="DO109" s="26">
        <f t="shared" si="85"/>
        <v>134000000</v>
      </c>
    </row>
    <row r="110" spans="1:119" ht="38.25" customHeight="1" x14ac:dyDescent="0.25">
      <c r="A110" s="192"/>
      <c r="B110" s="201"/>
      <c r="C110" s="53" t="s">
        <v>342</v>
      </c>
      <c r="D110" s="19" t="s">
        <v>343</v>
      </c>
      <c r="E110" s="83">
        <v>510</v>
      </c>
      <c r="F110" s="21" t="s">
        <v>339</v>
      </c>
      <c r="G110" s="22">
        <f t="shared" si="91"/>
        <v>26716000</v>
      </c>
      <c r="H110" s="22"/>
      <c r="I110" s="22">
        <f>31000000-4284000</f>
        <v>26716000</v>
      </c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3">
        <f t="shared" si="63"/>
        <v>0.31816140140739629</v>
      </c>
      <c r="AC110" s="22">
        <f t="shared" si="92"/>
        <v>8500000</v>
      </c>
      <c r="AD110" s="22"/>
      <c r="AE110" s="22">
        <f>+'[6]JULIO 2017'!$K$2334</f>
        <v>8500000</v>
      </c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3">
        <f t="shared" si="64"/>
        <v>0.68183859859260365</v>
      </c>
      <c r="AY110" s="22">
        <f t="shared" si="93"/>
        <v>18216000</v>
      </c>
      <c r="AZ110" s="22">
        <f t="shared" si="94"/>
        <v>0</v>
      </c>
      <c r="BA110" s="22">
        <f t="shared" si="94"/>
        <v>18216000</v>
      </c>
      <c r="BB110" s="22">
        <f t="shared" si="94"/>
        <v>0</v>
      </c>
      <c r="BC110" s="22">
        <f t="shared" si="94"/>
        <v>0</v>
      </c>
      <c r="BD110" s="22">
        <f t="shared" si="94"/>
        <v>0</v>
      </c>
      <c r="BE110" s="22">
        <f t="shared" si="94"/>
        <v>0</v>
      </c>
      <c r="BF110" s="22">
        <f t="shared" si="94"/>
        <v>0</v>
      </c>
      <c r="BG110" s="22">
        <f t="shared" si="94"/>
        <v>0</v>
      </c>
      <c r="BH110" s="22">
        <f t="shared" si="94"/>
        <v>0</v>
      </c>
      <c r="BI110" s="22">
        <f t="shared" si="94"/>
        <v>0</v>
      </c>
      <c r="BJ110" s="22">
        <f t="shared" si="94"/>
        <v>0</v>
      </c>
      <c r="BK110" s="22">
        <f t="shared" si="94"/>
        <v>0</v>
      </c>
      <c r="BL110" s="22">
        <f t="shared" si="94"/>
        <v>0</v>
      </c>
      <c r="BM110" s="22">
        <f t="shared" si="94"/>
        <v>0</v>
      </c>
      <c r="BN110" s="22">
        <f t="shared" si="94"/>
        <v>0</v>
      </c>
      <c r="BO110" s="22">
        <f t="shared" si="94"/>
        <v>0</v>
      </c>
      <c r="BP110" s="22">
        <f t="shared" si="95"/>
        <v>0</v>
      </c>
      <c r="BQ110" s="22">
        <f t="shared" si="95"/>
        <v>0</v>
      </c>
      <c r="BR110" s="22">
        <f t="shared" si="95"/>
        <v>0</v>
      </c>
      <c r="BS110" s="22">
        <f t="shared" si="95"/>
        <v>0</v>
      </c>
      <c r="BT110" s="23">
        <f t="shared" si="66"/>
        <v>0.31816140140739629</v>
      </c>
      <c r="BU110" s="22">
        <f t="shared" si="96"/>
        <v>8500000</v>
      </c>
      <c r="BV110" s="22"/>
      <c r="BW110" s="22">
        <f>+'[5]AGOSTO 2017'!$H$2673</f>
        <v>8500000</v>
      </c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3">
        <f t="shared" si="52"/>
        <v>0.68183859859260365</v>
      </c>
      <c r="CQ110" s="22">
        <f t="shared" si="97"/>
        <v>18216000</v>
      </c>
      <c r="CR110" s="22">
        <f t="shared" si="101"/>
        <v>0</v>
      </c>
      <c r="CS110" s="22">
        <f t="shared" si="98"/>
        <v>18216000</v>
      </c>
      <c r="CT110" s="22">
        <f t="shared" si="98"/>
        <v>0</v>
      </c>
      <c r="CU110" s="22">
        <f t="shared" si="98"/>
        <v>0</v>
      </c>
      <c r="CV110" s="22">
        <f t="shared" si="98"/>
        <v>0</v>
      </c>
      <c r="CW110" s="22">
        <f t="shared" si="98"/>
        <v>0</v>
      </c>
      <c r="CX110" s="22">
        <f t="shared" si="98"/>
        <v>0</v>
      </c>
      <c r="CY110" s="22">
        <f t="shared" si="98"/>
        <v>0</v>
      </c>
      <c r="CZ110" s="22">
        <f t="shared" si="98"/>
        <v>0</v>
      </c>
      <c r="DA110" s="22">
        <f t="shared" si="98"/>
        <v>0</v>
      </c>
      <c r="DB110" s="22">
        <f t="shared" si="98"/>
        <v>0</v>
      </c>
      <c r="DC110" s="22">
        <f t="shared" si="98"/>
        <v>0</v>
      </c>
      <c r="DD110" s="22">
        <f t="shared" si="98"/>
        <v>0</v>
      </c>
      <c r="DE110" s="22">
        <f t="shared" si="98"/>
        <v>0</v>
      </c>
      <c r="DF110" s="22">
        <f t="shared" si="98"/>
        <v>0</v>
      </c>
      <c r="DG110" s="22">
        <f t="shared" si="98"/>
        <v>0</v>
      </c>
      <c r="DH110" s="22">
        <f t="shared" si="98"/>
        <v>0</v>
      </c>
      <c r="DI110" s="22">
        <f t="shared" si="99"/>
        <v>0</v>
      </c>
      <c r="DJ110" s="22">
        <f t="shared" si="99"/>
        <v>0</v>
      </c>
      <c r="DK110" s="22">
        <f t="shared" si="99"/>
        <v>0</v>
      </c>
      <c r="DM110" s="26">
        <f t="shared" si="83"/>
        <v>26716000</v>
      </c>
      <c r="DN110" s="26">
        <f t="shared" si="84"/>
        <v>26716000</v>
      </c>
      <c r="DO110" s="26">
        <f t="shared" si="85"/>
        <v>26716000</v>
      </c>
    </row>
    <row r="111" spans="1:119" ht="32.25" customHeight="1" x14ac:dyDescent="0.25">
      <c r="A111" s="192"/>
      <c r="B111" s="202"/>
      <c r="C111" s="53" t="s">
        <v>344</v>
      </c>
      <c r="D111" s="19" t="s">
        <v>345</v>
      </c>
      <c r="E111" s="83">
        <v>510</v>
      </c>
      <c r="F111" s="21" t="s">
        <v>200</v>
      </c>
      <c r="G111" s="22">
        <f t="shared" si="91"/>
        <v>0</v>
      </c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>
        <f>2000000-2000000</f>
        <v>0</v>
      </c>
      <c r="AB111" s="23" t="e">
        <f t="shared" si="63"/>
        <v>#DIV/0!</v>
      </c>
      <c r="AC111" s="22">
        <f t="shared" si="92"/>
        <v>0</v>
      </c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3" t="e">
        <f t="shared" si="64"/>
        <v>#DIV/0!</v>
      </c>
      <c r="AY111" s="22">
        <f t="shared" si="93"/>
        <v>0</v>
      </c>
      <c r="AZ111" s="22">
        <f t="shared" si="94"/>
        <v>0</v>
      </c>
      <c r="BA111" s="22">
        <f t="shared" si="94"/>
        <v>0</v>
      </c>
      <c r="BB111" s="22">
        <f t="shared" si="94"/>
        <v>0</v>
      </c>
      <c r="BC111" s="22">
        <f t="shared" si="94"/>
        <v>0</v>
      </c>
      <c r="BD111" s="22">
        <f t="shared" si="94"/>
        <v>0</v>
      </c>
      <c r="BE111" s="22">
        <f t="shared" si="94"/>
        <v>0</v>
      </c>
      <c r="BF111" s="22">
        <f t="shared" si="94"/>
        <v>0</v>
      </c>
      <c r="BG111" s="22">
        <f t="shared" si="94"/>
        <v>0</v>
      </c>
      <c r="BH111" s="22">
        <f t="shared" si="94"/>
        <v>0</v>
      </c>
      <c r="BI111" s="22">
        <f t="shared" si="94"/>
        <v>0</v>
      </c>
      <c r="BJ111" s="22">
        <f t="shared" si="94"/>
        <v>0</v>
      </c>
      <c r="BK111" s="22">
        <f t="shared" si="94"/>
        <v>0</v>
      </c>
      <c r="BL111" s="22">
        <f t="shared" si="94"/>
        <v>0</v>
      </c>
      <c r="BM111" s="22">
        <f t="shared" si="94"/>
        <v>0</v>
      </c>
      <c r="BN111" s="22">
        <f t="shared" si="94"/>
        <v>0</v>
      </c>
      <c r="BO111" s="22">
        <f t="shared" si="95"/>
        <v>0</v>
      </c>
      <c r="BP111" s="22">
        <f t="shared" si="95"/>
        <v>0</v>
      </c>
      <c r="BQ111" s="22">
        <f t="shared" si="95"/>
        <v>0</v>
      </c>
      <c r="BR111" s="22">
        <f t="shared" si="95"/>
        <v>0</v>
      </c>
      <c r="BS111" s="22">
        <f t="shared" si="95"/>
        <v>0</v>
      </c>
      <c r="BT111" s="23" t="e">
        <f t="shared" si="66"/>
        <v>#DIV/0!</v>
      </c>
      <c r="BU111" s="22">
        <f t="shared" si="96"/>
        <v>0</v>
      </c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3" t="e">
        <f t="shared" si="52"/>
        <v>#DIV/0!</v>
      </c>
      <c r="CQ111" s="22">
        <f t="shared" si="97"/>
        <v>0</v>
      </c>
      <c r="CR111" s="22">
        <f t="shared" si="101"/>
        <v>0</v>
      </c>
      <c r="CS111" s="22">
        <f t="shared" si="98"/>
        <v>0</v>
      </c>
      <c r="CT111" s="22">
        <f t="shared" si="98"/>
        <v>0</v>
      </c>
      <c r="CU111" s="22">
        <f t="shared" si="98"/>
        <v>0</v>
      </c>
      <c r="CV111" s="22">
        <f t="shared" si="98"/>
        <v>0</v>
      </c>
      <c r="CW111" s="22">
        <f t="shared" si="98"/>
        <v>0</v>
      </c>
      <c r="CX111" s="22">
        <f t="shared" si="98"/>
        <v>0</v>
      </c>
      <c r="CY111" s="22">
        <f t="shared" si="98"/>
        <v>0</v>
      </c>
      <c r="CZ111" s="22">
        <f t="shared" si="98"/>
        <v>0</v>
      </c>
      <c r="DA111" s="22">
        <f t="shared" si="98"/>
        <v>0</v>
      </c>
      <c r="DB111" s="22">
        <f t="shared" si="98"/>
        <v>0</v>
      </c>
      <c r="DC111" s="22">
        <f t="shared" si="98"/>
        <v>0</v>
      </c>
      <c r="DD111" s="22">
        <f t="shared" si="98"/>
        <v>0</v>
      </c>
      <c r="DE111" s="22">
        <f t="shared" si="98"/>
        <v>0</v>
      </c>
      <c r="DF111" s="22">
        <f t="shared" si="98"/>
        <v>0</v>
      </c>
      <c r="DG111" s="22">
        <f t="shared" si="98"/>
        <v>0</v>
      </c>
      <c r="DH111" s="22">
        <f t="shared" si="98"/>
        <v>0</v>
      </c>
      <c r="DI111" s="22">
        <f t="shared" si="99"/>
        <v>0</v>
      </c>
      <c r="DJ111" s="22">
        <f t="shared" si="99"/>
        <v>0</v>
      </c>
      <c r="DK111" s="22">
        <f t="shared" si="99"/>
        <v>0</v>
      </c>
      <c r="DM111" s="26">
        <f t="shared" si="83"/>
        <v>0</v>
      </c>
      <c r="DN111" s="26">
        <f t="shared" si="84"/>
        <v>0</v>
      </c>
      <c r="DO111" s="26">
        <f t="shared" si="85"/>
        <v>0</v>
      </c>
    </row>
    <row r="112" spans="1:119" ht="39" customHeight="1" x14ac:dyDescent="0.25">
      <c r="A112" s="192"/>
      <c r="B112" s="59" t="s">
        <v>346</v>
      </c>
      <c r="C112" s="53" t="s">
        <v>347</v>
      </c>
      <c r="D112" s="19" t="s">
        <v>348</v>
      </c>
      <c r="E112" s="83">
        <v>510</v>
      </c>
      <c r="F112" s="21" t="s">
        <v>349</v>
      </c>
      <c r="G112" s="22">
        <f t="shared" si="91"/>
        <v>50000000</v>
      </c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>
        <v>50000000</v>
      </c>
      <c r="W112" s="22"/>
      <c r="X112" s="22"/>
      <c r="Y112" s="22"/>
      <c r="Z112" s="22"/>
      <c r="AA112" s="22"/>
      <c r="AB112" s="23">
        <f t="shared" si="63"/>
        <v>1</v>
      </c>
      <c r="AC112" s="22">
        <f t="shared" si="92"/>
        <v>50000000</v>
      </c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>
        <f>+'[7]FEBRERO 2017'!$X$861</f>
        <v>50000000</v>
      </c>
      <c r="AS112" s="22"/>
      <c r="AT112" s="22"/>
      <c r="AU112" s="22"/>
      <c r="AV112" s="22"/>
      <c r="AW112" s="22"/>
      <c r="AX112" s="23">
        <f t="shared" si="64"/>
        <v>0</v>
      </c>
      <c r="AY112" s="22">
        <f t="shared" si="93"/>
        <v>0</v>
      </c>
      <c r="AZ112" s="22">
        <f t="shared" si="94"/>
        <v>0</v>
      </c>
      <c r="BA112" s="22">
        <f t="shared" si="94"/>
        <v>0</v>
      </c>
      <c r="BB112" s="22">
        <f t="shared" si="94"/>
        <v>0</v>
      </c>
      <c r="BC112" s="22">
        <f t="shared" si="94"/>
        <v>0</v>
      </c>
      <c r="BD112" s="22">
        <f t="shared" si="94"/>
        <v>0</v>
      </c>
      <c r="BE112" s="22">
        <f t="shared" si="94"/>
        <v>0</v>
      </c>
      <c r="BF112" s="22">
        <f t="shared" si="94"/>
        <v>0</v>
      </c>
      <c r="BG112" s="22">
        <f t="shared" si="94"/>
        <v>0</v>
      </c>
      <c r="BH112" s="22">
        <f t="shared" si="94"/>
        <v>0</v>
      </c>
      <c r="BI112" s="22">
        <f t="shared" si="94"/>
        <v>0</v>
      </c>
      <c r="BJ112" s="22">
        <f t="shared" si="94"/>
        <v>0</v>
      </c>
      <c r="BK112" s="22">
        <f t="shared" si="94"/>
        <v>0</v>
      </c>
      <c r="BL112" s="22">
        <f t="shared" si="94"/>
        <v>0</v>
      </c>
      <c r="BM112" s="22">
        <f t="shared" si="94"/>
        <v>0</v>
      </c>
      <c r="BN112" s="22">
        <f t="shared" ref="AZ112:BN113" si="102">V112-AR112</f>
        <v>0</v>
      </c>
      <c r="BO112" s="22">
        <f t="shared" si="95"/>
        <v>0</v>
      </c>
      <c r="BP112" s="22">
        <f t="shared" si="95"/>
        <v>0</v>
      </c>
      <c r="BQ112" s="22">
        <f t="shared" si="95"/>
        <v>0</v>
      </c>
      <c r="BR112" s="22">
        <f t="shared" si="95"/>
        <v>0</v>
      </c>
      <c r="BS112" s="22">
        <f t="shared" si="95"/>
        <v>0</v>
      </c>
      <c r="BT112" s="23">
        <f t="shared" si="66"/>
        <v>1</v>
      </c>
      <c r="BU112" s="22">
        <f t="shared" si="96"/>
        <v>50000000</v>
      </c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>
        <f>+'[2]FEBRERO 2017'!$H$1029</f>
        <v>50000000</v>
      </c>
      <c r="CK112" s="22"/>
      <c r="CL112" s="22"/>
      <c r="CM112" s="22"/>
      <c r="CN112" s="22"/>
      <c r="CO112" s="22"/>
      <c r="CP112" s="23">
        <f t="shared" si="52"/>
        <v>0</v>
      </c>
      <c r="CQ112" s="22">
        <f t="shared" si="97"/>
        <v>0</v>
      </c>
      <c r="CR112" s="22">
        <f t="shared" si="101"/>
        <v>0</v>
      </c>
      <c r="CS112" s="22">
        <f t="shared" si="98"/>
        <v>0</v>
      </c>
      <c r="CT112" s="22">
        <f t="shared" si="98"/>
        <v>0</v>
      </c>
      <c r="CU112" s="22">
        <f t="shared" si="98"/>
        <v>0</v>
      </c>
      <c r="CV112" s="22">
        <f t="shared" si="98"/>
        <v>0</v>
      </c>
      <c r="CW112" s="22">
        <f t="shared" si="98"/>
        <v>0</v>
      </c>
      <c r="CX112" s="22">
        <f t="shared" si="98"/>
        <v>0</v>
      </c>
      <c r="CY112" s="22">
        <f t="shared" si="98"/>
        <v>0</v>
      </c>
      <c r="CZ112" s="22">
        <f t="shared" si="98"/>
        <v>0</v>
      </c>
      <c r="DA112" s="22">
        <f t="shared" si="98"/>
        <v>0</v>
      </c>
      <c r="DB112" s="22">
        <f t="shared" si="98"/>
        <v>0</v>
      </c>
      <c r="DC112" s="22">
        <f t="shared" si="98"/>
        <v>0</v>
      </c>
      <c r="DD112" s="22">
        <f t="shared" si="98"/>
        <v>0</v>
      </c>
      <c r="DE112" s="22">
        <f t="shared" si="98"/>
        <v>0</v>
      </c>
      <c r="DF112" s="22">
        <f t="shared" ref="CS112:DH113" si="103">V112-CJ112</f>
        <v>0</v>
      </c>
      <c r="DG112" s="22">
        <f t="shared" si="103"/>
        <v>0</v>
      </c>
      <c r="DH112" s="22">
        <f t="shared" si="103"/>
        <v>0</v>
      </c>
      <c r="DI112" s="22">
        <f t="shared" si="99"/>
        <v>0</v>
      </c>
      <c r="DJ112" s="22">
        <f t="shared" si="99"/>
        <v>0</v>
      </c>
      <c r="DK112" s="22">
        <f t="shared" si="99"/>
        <v>0</v>
      </c>
      <c r="DM112" s="26">
        <f t="shared" si="83"/>
        <v>50000000</v>
      </c>
      <c r="DN112" s="26">
        <f t="shared" si="84"/>
        <v>50000000</v>
      </c>
      <c r="DO112" s="26">
        <f t="shared" si="85"/>
        <v>50000000</v>
      </c>
    </row>
    <row r="113" spans="1:120" ht="54" customHeight="1" x14ac:dyDescent="0.25">
      <c r="A113" s="196"/>
      <c r="B113" s="59" t="s">
        <v>350</v>
      </c>
      <c r="C113" s="53" t="s">
        <v>351</v>
      </c>
      <c r="D113" s="19" t="s">
        <v>352</v>
      </c>
      <c r="E113" s="83">
        <v>310</v>
      </c>
      <c r="F113" s="21" t="s">
        <v>353</v>
      </c>
      <c r="G113" s="22">
        <f t="shared" si="91"/>
        <v>215500000</v>
      </c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>
        <v>200000000</v>
      </c>
      <c r="W113" s="22"/>
      <c r="X113" s="22"/>
      <c r="Y113" s="22"/>
      <c r="Z113" s="22"/>
      <c r="AA113" s="22">
        <f>17000000+1500000+5000000-8000000</f>
        <v>15500000</v>
      </c>
      <c r="AB113" s="23">
        <f t="shared" si="63"/>
        <v>0.93659351740139207</v>
      </c>
      <c r="AC113" s="22">
        <f t="shared" si="92"/>
        <v>201835903</v>
      </c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>
        <f>+'[6]JULIO 2017'!$X$434</f>
        <v>200000000</v>
      </c>
      <c r="AS113" s="22"/>
      <c r="AT113" s="22"/>
      <c r="AU113" s="22"/>
      <c r="AV113" s="22"/>
      <c r="AW113" s="22">
        <f>+'[5]AGOSTO 2017'!$AC$534</f>
        <v>1835903</v>
      </c>
      <c r="AX113" s="23">
        <f t="shared" si="64"/>
        <v>6.3406482598607927E-2</v>
      </c>
      <c r="AY113" s="22">
        <f t="shared" si="93"/>
        <v>13664097</v>
      </c>
      <c r="AZ113" s="22">
        <f t="shared" si="102"/>
        <v>0</v>
      </c>
      <c r="BA113" s="22">
        <f t="shared" si="102"/>
        <v>0</v>
      </c>
      <c r="BB113" s="22">
        <f t="shared" si="102"/>
        <v>0</v>
      </c>
      <c r="BC113" s="22">
        <f t="shared" si="102"/>
        <v>0</v>
      </c>
      <c r="BD113" s="22">
        <f t="shared" si="102"/>
        <v>0</v>
      </c>
      <c r="BE113" s="22">
        <f t="shared" si="102"/>
        <v>0</v>
      </c>
      <c r="BF113" s="22">
        <f t="shared" si="102"/>
        <v>0</v>
      </c>
      <c r="BG113" s="22">
        <f t="shared" si="102"/>
        <v>0</v>
      </c>
      <c r="BH113" s="22">
        <f t="shared" si="102"/>
        <v>0</v>
      </c>
      <c r="BI113" s="22">
        <f t="shared" si="102"/>
        <v>0</v>
      </c>
      <c r="BJ113" s="22">
        <f t="shared" si="102"/>
        <v>0</v>
      </c>
      <c r="BK113" s="22">
        <f t="shared" si="102"/>
        <v>0</v>
      </c>
      <c r="BL113" s="22">
        <f t="shared" si="102"/>
        <v>0</v>
      </c>
      <c r="BM113" s="22">
        <f t="shared" si="102"/>
        <v>0</v>
      </c>
      <c r="BN113" s="22">
        <f t="shared" si="102"/>
        <v>0</v>
      </c>
      <c r="BO113" s="22">
        <f t="shared" si="95"/>
        <v>0</v>
      </c>
      <c r="BP113" s="22">
        <f t="shared" si="95"/>
        <v>0</v>
      </c>
      <c r="BQ113" s="22">
        <f t="shared" si="95"/>
        <v>0</v>
      </c>
      <c r="BR113" s="22">
        <f t="shared" si="95"/>
        <v>0</v>
      </c>
      <c r="BS113" s="22">
        <f t="shared" si="95"/>
        <v>13664097</v>
      </c>
      <c r="BT113" s="23">
        <f t="shared" si="66"/>
        <v>0.68522258468677499</v>
      </c>
      <c r="BU113" s="22">
        <f t="shared" si="96"/>
        <v>147665467</v>
      </c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>
        <f>+'[5]AGOSTO 2017'!$H$532-CO113</f>
        <v>145829564</v>
      </c>
      <c r="CK113" s="22"/>
      <c r="CL113" s="22"/>
      <c r="CM113" s="22"/>
      <c r="CN113" s="22"/>
      <c r="CO113" s="22">
        <f>+'[5]AGOSTO 2017'!$H$620+'[5]AGOSTO 2017'!$H$621</f>
        <v>1835903</v>
      </c>
      <c r="CP113" s="23">
        <f t="shared" si="52"/>
        <v>0.31477741531322501</v>
      </c>
      <c r="CQ113" s="22">
        <f t="shared" si="97"/>
        <v>67834533</v>
      </c>
      <c r="CR113" s="22">
        <f t="shared" si="101"/>
        <v>0</v>
      </c>
      <c r="CS113" s="22">
        <f t="shared" si="103"/>
        <v>0</v>
      </c>
      <c r="CT113" s="22">
        <f t="shared" si="103"/>
        <v>0</v>
      </c>
      <c r="CU113" s="22">
        <f t="shared" si="103"/>
        <v>0</v>
      </c>
      <c r="CV113" s="22">
        <f t="shared" si="103"/>
        <v>0</v>
      </c>
      <c r="CW113" s="22">
        <f t="shared" si="103"/>
        <v>0</v>
      </c>
      <c r="CX113" s="22">
        <f t="shared" si="103"/>
        <v>0</v>
      </c>
      <c r="CY113" s="22">
        <f t="shared" si="103"/>
        <v>0</v>
      </c>
      <c r="CZ113" s="22">
        <f t="shared" si="103"/>
        <v>0</v>
      </c>
      <c r="DA113" s="22">
        <f t="shared" si="103"/>
        <v>0</v>
      </c>
      <c r="DB113" s="22">
        <f t="shared" si="103"/>
        <v>0</v>
      </c>
      <c r="DC113" s="22">
        <f t="shared" si="103"/>
        <v>0</v>
      </c>
      <c r="DD113" s="22">
        <f t="shared" si="103"/>
        <v>0</v>
      </c>
      <c r="DE113" s="22">
        <f t="shared" si="103"/>
        <v>0</v>
      </c>
      <c r="DF113" s="22">
        <f t="shared" si="103"/>
        <v>54170436</v>
      </c>
      <c r="DG113" s="22">
        <f t="shared" si="103"/>
        <v>0</v>
      </c>
      <c r="DH113" s="22">
        <f t="shared" si="103"/>
        <v>0</v>
      </c>
      <c r="DI113" s="22">
        <f t="shared" si="99"/>
        <v>0</v>
      </c>
      <c r="DJ113" s="22">
        <f t="shared" si="99"/>
        <v>0</v>
      </c>
      <c r="DK113" s="22">
        <f t="shared" si="99"/>
        <v>13664097</v>
      </c>
      <c r="DM113" s="26">
        <f t="shared" si="83"/>
        <v>215500000</v>
      </c>
      <c r="DN113" s="26">
        <f t="shared" si="84"/>
        <v>215500000</v>
      </c>
      <c r="DO113" s="26">
        <f t="shared" si="85"/>
        <v>215500000</v>
      </c>
    </row>
    <row r="114" spans="1:120" s="47" customFormat="1" ht="26.25" customHeight="1" thickBot="1" x14ac:dyDescent="0.3">
      <c r="A114" s="85"/>
      <c r="B114" s="210" t="s">
        <v>354</v>
      </c>
      <c r="C114" s="211"/>
      <c r="D114" s="212"/>
      <c r="E114" s="86"/>
      <c r="F114" s="87"/>
      <c r="G114" s="62">
        <f t="shared" ref="G114:AA114" si="104">SUM(G95:G113)</f>
        <v>7370293649</v>
      </c>
      <c r="H114" s="62">
        <f t="shared" si="104"/>
        <v>181434097</v>
      </c>
      <c r="I114" s="62">
        <f t="shared" si="104"/>
        <v>392954283</v>
      </c>
      <c r="J114" s="62">
        <f t="shared" si="104"/>
        <v>1150000000</v>
      </c>
      <c r="K114" s="62">
        <f t="shared" si="104"/>
        <v>1481402260</v>
      </c>
      <c r="L114" s="62">
        <f t="shared" si="104"/>
        <v>80883013</v>
      </c>
      <c r="M114" s="62">
        <f t="shared" si="104"/>
        <v>210796645</v>
      </c>
      <c r="N114" s="62">
        <f t="shared" si="104"/>
        <v>12004716</v>
      </c>
      <c r="O114" s="62">
        <f t="shared" si="104"/>
        <v>6840985</v>
      </c>
      <c r="P114" s="62">
        <f t="shared" si="104"/>
        <v>30665828</v>
      </c>
      <c r="Q114" s="62">
        <f t="shared" si="104"/>
        <v>1940856</v>
      </c>
      <c r="R114" s="62">
        <f t="shared" si="104"/>
        <v>135153822</v>
      </c>
      <c r="S114" s="62">
        <f t="shared" si="104"/>
        <v>0</v>
      </c>
      <c r="T114" s="62">
        <f t="shared" si="104"/>
        <v>300000000</v>
      </c>
      <c r="U114" s="62">
        <f t="shared" si="104"/>
        <v>575407003</v>
      </c>
      <c r="V114" s="62">
        <f t="shared" si="104"/>
        <v>1012993410</v>
      </c>
      <c r="W114" s="62">
        <f t="shared" si="104"/>
        <v>0</v>
      </c>
      <c r="X114" s="62">
        <f t="shared" si="104"/>
        <v>0</v>
      </c>
      <c r="Y114" s="62">
        <f t="shared" si="104"/>
        <v>667371659</v>
      </c>
      <c r="Z114" s="62">
        <f t="shared" si="104"/>
        <v>33084973</v>
      </c>
      <c r="AA114" s="62">
        <f t="shared" si="104"/>
        <v>1097360099</v>
      </c>
      <c r="AB114" s="44">
        <f t="shared" si="63"/>
        <v>0.82212170946840379</v>
      </c>
      <c r="AC114" s="62">
        <f t="shared" ref="AC114:AW114" si="105">SUM(AC95:AC113)</f>
        <v>6059278414</v>
      </c>
      <c r="AD114" s="62">
        <f t="shared" si="105"/>
        <v>181434097</v>
      </c>
      <c r="AE114" s="62">
        <f t="shared" si="105"/>
        <v>367409930</v>
      </c>
      <c r="AF114" s="62">
        <f t="shared" si="105"/>
        <v>906975308</v>
      </c>
      <c r="AG114" s="62">
        <f>SUM(AG95:AG113)</f>
        <v>1442649906</v>
      </c>
      <c r="AH114" s="62">
        <f t="shared" si="105"/>
        <v>80883013</v>
      </c>
      <c r="AI114" s="62">
        <f t="shared" si="105"/>
        <v>11416500</v>
      </c>
      <c r="AJ114" s="62">
        <f t="shared" si="105"/>
        <v>12004716</v>
      </c>
      <c r="AK114" s="62">
        <f t="shared" si="105"/>
        <v>6840985</v>
      </c>
      <c r="AL114" s="62">
        <f t="shared" si="105"/>
        <v>30665828</v>
      </c>
      <c r="AM114" s="62">
        <f t="shared" si="105"/>
        <v>0</v>
      </c>
      <c r="AN114" s="62">
        <f t="shared" si="105"/>
        <v>135153822</v>
      </c>
      <c r="AO114" s="62">
        <f t="shared" si="105"/>
        <v>0</v>
      </c>
      <c r="AP114" s="62">
        <f t="shared" si="105"/>
        <v>149455530</v>
      </c>
      <c r="AQ114" s="62">
        <f t="shared" si="105"/>
        <v>533407003</v>
      </c>
      <c r="AR114" s="62">
        <f t="shared" si="105"/>
        <v>915593059</v>
      </c>
      <c r="AS114" s="62">
        <f t="shared" si="105"/>
        <v>0</v>
      </c>
      <c r="AT114" s="62">
        <f t="shared" si="105"/>
        <v>0</v>
      </c>
      <c r="AU114" s="62">
        <f t="shared" si="105"/>
        <v>667371659</v>
      </c>
      <c r="AV114" s="62">
        <f t="shared" si="105"/>
        <v>33084973</v>
      </c>
      <c r="AW114" s="62">
        <f t="shared" si="105"/>
        <v>584932085</v>
      </c>
      <c r="AX114" s="44">
        <f t="shared" si="64"/>
        <v>0.17787829053159621</v>
      </c>
      <c r="AY114" s="62">
        <f t="shared" ref="AY114:BS114" si="106">SUM(AY95:AY113)</f>
        <v>1311015235</v>
      </c>
      <c r="AZ114" s="62">
        <f t="shared" si="106"/>
        <v>0</v>
      </c>
      <c r="BA114" s="62">
        <f t="shared" si="106"/>
        <v>25544353</v>
      </c>
      <c r="BB114" s="62">
        <f t="shared" si="106"/>
        <v>243024692</v>
      </c>
      <c r="BC114" s="62">
        <f t="shared" si="106"/>
        <v>38752354</v>
      </c>
      <c r="BD114" s="62">
        <f t="shared" si="106"/>
        <v>0</v>
      </c>
      <c r="BE114" s="62">
        <f t="shared" si="106"/>
        <v>199380145</v>
      </c>
      <c r="BF114" s="62">
        <f t="shared" si="106"/>
        <v>0</v>
      </c>
      <c r="BG114" s="62">
        <f t="shared" si="106"/>
        <v>0</v>
      </c>
      <c r="BH114" s="62">
        <f t="shared" si="106"/>
        <v>0</v>
      </c>
      <c r="BI114" s="62">
        <f t="shared" si="106"/>
        <v>1940856</v>
      </c>
      <c r="BJ114" s="62">
        <f t="shared" si="106"/>
        <v>0</v>
      </c>
      <c r="BK114" s="62">
        <f t="shared" si="106"/>
        <v>0</v>
      </c>
      <c r="BL114" s="62">
        <f t="shared" si="106"/>
        <v>150544470</v>
      </c>
      <c r="BM114" s="62">
        <f t="shared" si="106"/>
        <v>42000000</v>
      </c>
      <c r="BN114" s="62">
        <f t="shared" si="106"/>
        <v>97400351</v>
      </c>
      <c r="BO114" s="62">
        <f t="shared" si="106"/>
        <v>0</v>
      </c>
      <c r="BP114" s="62">
        <f t="shared" si="106"/>
        <v>0</v>
      </c>
      <c r="BQ114" s="62">
        <f t="shared" si="106"/>
        <v>0</v>
      </c>
      <c r="BR114" s="62">
        <f t="shared" si="106"/>
        <v>0</v>
      </c>
      <c r="BS114" s="62">
        <f t="shared" si="106"/>
        <v>512428014</v>
      </c>
      <c r="BT114" s="44">
        <f t="shared" si="66"/>
        <v>0.54957805168991847</v>
      </c>
      <c r="BU114" s="62">
        <f t="shared" ref="BU114:CK114" si="107">SUM(BU95:BU113)</f>
        <v>4050551624</v>
      </c>
      <c r="BV114" s="62">
        <f t="shared" si="107"/>
        <v>0</v>
      </c>
      <c r="BW114" s="62">
        <f t="shared" si="107"/>
        <v>366965147</v>
      </c>
      <c r="BX114" s="62">
        <f t="shared" si="107"/>
        <v>670935199</v>
      </c>
      <c r="BY114" s="62">
        <f t="shared" si="107"/>
        <v>772017818</v>
      </c>
      <c r="BZ114" s="62">
        <f t="shared" si="107"/>
        <v>7736670</v>
      </c>
      <c r="CA114" s="62">
        <f t="shared" si="107"/>
        <v>11416500</v>
      </c>
      <c r="CB114" s="62">
        <f t="shared" si="107"/>
        <v>12004716</v>
      </c>
      <c r="CC114" s="62">
        <f t="shared" si="107"/>
        <v>6840985</v>
      </c>
      <c r="CD114" s="62">
        <f t="shared" si="107"/>
        <v>30665828</v>
      </c>
      <c r="CE114" s="62">
        <f t="shared" si="107"/>
        <v>0</v>
      </c>
      <c r="CF114" s="62">
        <f t="shared" si="107"/>
        <v>10153894</v>
      </c>
      <c r="CG114" s="62">
        <f t="shared" si="107"/>
        <v>0</v>
      </c>
      <c r="CH114" s="62">
        <f t="shared" si="107"/>
        <v>149455530</v>
      </c>
      <c r="CI114" s="62">
        <f t="shared" si="107"/>
        <v>141978128</v>
      </c>
      <c r="CJ114" s="62">
        <f t="shared" si="107"/>
        <v>853168889</v>
      </c>
      <c r="CK114" s="62">
        <f t="shared" si="107"/>
        <v>0</v>
      </c>
      <c r="CL114" s="62"/>
      <c r="CM114" s="62">
        <f>SUM(CM95:CM113)</f>
        <v>591018660</v>
      </c>
      <c r="CN114" s="62">
        <f>SUM(CN95:CN113)</f>
        <v>32833600</v>
      </c>
      <c r="CO114" s="62">
        <f>SUM(CO95:CO113)</f>
        <v>393360060</v>
      </c>
      <c r="CP114" s="44">
        <f t="shared" si="52"/>
        <v>0.45042194831008153</v>
      </c>
      <c r="CQ114" s="62">
        <f t="shared" ref="CQ114:DK114" si="108">SUM(CQ95:CQ113)</f>
        <v>3319742025</v>
      </c>
      <c r="CR114" s="62">
        <f t="shared" si="108"/>
        <v>181434097</v>
      </c>
      <c r="CS114" s="62">
        <f t="shared" si="108"/>
        <v>25989136</v>
      </c>
      <c r="CT114" s="62">
        <f t="shared" si="108"/>
        <v>479064801</v>
      </c>
      <c r="CU114" s="62">
        <f t="shared" si="108"/>
        <v>709384442</v>
      </c>
      <c r="CV114" s="62">
        <f t="shared" si="108"/>
        <v>73146343</v>
      </c>
      <c r="CW114" s="62">
        <f t="shared" si="108"/>
        <v>199380145</v>
      </c>
      <c r="CX114" s="62">
        <f t="shared" si="108"/>
        <v>0</v>
      </c>
      <c r="CY114" s="62">
        <f t="shared" si="108"/>
        <v>0</v>
      </c>
      <c r="CZ114" s="62">
        <f t="shared" si="108"/>
        <v>0</v>
      </c>
      <c r="DA114" s="62">
        <f t="shared" si="108"/>
        <v>1940856</v>
      </c>
      <c r="DB114" s="62">
        <f t="shared" si="108"/>
        <v>124999928</v>
      </c>
      <c r="DC114" s="62">
        <f t="shared" si="108"/>
        <v>0</v>
      </c>
      <c r="DD114" s="62">
        <f t="shared" si="108"/>
        <v>150544470</v>
      </c>
      <c r="DE114" s="62">
        <f t="shared" si="108"/>
        <v>433428875</v>
      </c>
      <c r="DF114" s="62">
        <f t="shared" si="108"/>
        <v>159824521</v>
      </c>
      <c r="DG114" s="62">
        <f t="shared" si="108"/>
        <v>0</v>
      </c>
      <c r="DH114" s="62">
        <f t="shared" si="108"/>
        <v>0</v>
      </c>
      <c r="DI114" s="62">
        <f t="shared" si="108"/>
        <v>76352999</v>
      </c>
      <c r="DJ114" s="62">
        <f t="shared" si="108"/>
        <v>251373</v>
      </c>
      <c r="DK114" s="62">
        <f t="shared" si="108"/>
        <v>704000039</v>
      </c>
      <c r="DM114" s="26">
        <f t="shared" si="83"/>
        <v>7370293649</v>
      </c>
      <c r="DN114" s="26">
        <f t="shared" si="84"/>
        <v>7370293649</v>
      </c>
      <c r="DO114" s="26">
        <f t="shared" si="85"/>
        <v>7370293649</v>
      </c>
      <c r="DP114" s="88"/>
    </row>
    <row r="115" spans="1:120" ht="5.25" customHeight="1" thickTop="1" x14ac:dyDescent="0.25">
      <c r="C115" s="89"/>
      <c r="D115" s="89"/>
      <c r="E115" s="89"/>
      <c r="F115" s="89"/>
      <c r="G115" s="90"/>
      <c r="H115" s="90"/>
      <c r="I115" s="91"/>
      <c r="J115" s="90"/>
      <c r="K115" s="90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  <c r="AA115" s="92"/>
      <c r="AB115" s="93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1"/>
      <c r="AU115" s="51"/>
      <c r="AV115" s="51"/>
      <c r="AW115" s="51"/>
      <c r="AX115" s="93"/>
      <c r="AY115" s="51"/>
      <c r="AZ115" s="51"/>
      <c r="BA115" s="51"/>
      <c r="BB115" s="51"/>
      <c r="BC115" s="51"/>
      <c r="BD115" s="51"/>
      <c r="BE115" s="51"/>
      <c r="BF115" s="51"/>
      <c r="BG115" s="51"/>
      <c r="BH115" s="51"/>
      <c r="BI115" s="51"/>
      <c r="BJ115" s="51"/>
      <c r="BK115" s="51"/>
      <c r="BL115" s="51"/>
      <c r="BM115" s="51"/>
      <c r="BN115" s="51"/>
      <c r="BO115" s="51"/>
      <c r="BP115" s="51"/>
      <c r="BQ115" s="51"/>
      <c r="BR115" s="51"/>
      <c r="BS115" s="51"/>
      <c r="BT115" s="93"/>
      <c r="BU115" s="94"/>
      <c r="BV115" s="51"/>
      <c r="BW115" s="51"/>
      <c r="BX115" s="51"/>
      <c r="BY115" s="51"/>
      <c r="BZ115" s="51"/>
      <c r="CA115" s="51"/>
      <c r="CB115" s="51"/>
      <c r="CC115" s="51"/>
      <c r="CD115" s="51"/>
      <c r="CE115" s="51"/>
      <c r="CF115" s="51"/>
      <c r="CG115" s="51"/>
      <c r="CH115" s="51"/>
      <c r="CI115" s="51"/>
      <c r="CJ115" s="51"/>
      <c r="CK115" s="51"/>
      <c r="CL115" s="51"/>
      <c r="CM115" s="51"/>
      <c r="CN115" s="51"/>
      <c r="CO115" s="51"/>
      <c r="CP115" s="93"/>
      <c r="CQ115" s="51"/>
      <c r="CR115" s="51"/>
      <c r="CS115" s="51"/>
      <c r="CT115" s="51"/>
      <c r="CU115" s="51"/>
      <c r="CV115" s="51"/>
      <c r="CW115" s="51"/>
      <c r="CX115" s="51"/>
      <c r="CY115" s="51"/>
      <c r="CZ115" s="51"/>
      <c r="DA115" s="51"/>
      <c r="DB115" s="51"/>
      <c r="DC115" s="51"/>
      <c r="DD115" s="51"/>
      <c r="DE115" s="51"/>
      <c r="DF115" s="51"/>
      <c r="DG115" s="51"/>
      <c r="DH115" s="51"/>
      <c r="DI115" s="51"/>
      <c r="DJ115" s="51"/>
      <c r="DK115" s="51"/>
      <c r="DM115" s="26"/>
      <c r="DN115" s="26"/>
      <c r="DO115" s="26"/>
    </row>
    <row r="116" spans="1:120" ht="19.5" customHeight="1" x14ac:dyDescent="0.25">
      <c r="C116" s="213" t="s">
        <v>355</v>
      </c>
      <c r="D116" s="214"/>
      <c r="E116" s="215"/>
      <c r="F116" s="95"/>
      <c r="G116" s="51">
        <f t="shared" ref="G116:AA116" si="109">G24+G57+G79+G94+G114</f>
        <v>22024860201</v>
      </c>
      <c r="H116" s="51">
        <f t="shared" si="109"/>
        <v>459174006</v>
      </c>
      <c r="I116" s="51">
        <f t="shared" si="109"/>
        <v>2798954283</v>
      </c>
      <c r="J116" s="51">
        <f t="shared" si="109"/>
        <v>4000000000</v>
      </c>
      <c r="K116" s="51">
        <f t="shared" si="109"/>
        <v>2000547872</v>
      </c>
      <c r="L116" s="51">
        <f t="shared" si="109"/>
        <v>80883013</v>
      </c>
      <c r="M116" s="51">
        <f t="shared" si="109"/>
        <v>210796645</v>
      </c>
      <c r="N116" s="51">
        <f t="shared" si="109"/>
        <v>12004716</v>
      </c>
      <c r="O116" s="51">
        <f t="shared" si="109"/>
        <v>6840985</v>
      </c>
      <c r="P116" s="51">
        <f t="shared" si="109"/>
        <v>30665828</v>
      </c>
      <c r="Q116" s="51">
        <f t="shared" si="109"/>
        <v>1940856</v>
      </c>
      <c r="R116" s="51">
        <f t="shared" si="109"/>
        <v>135153822</v>
      </c>
      <c r="S116" s="51">
        <f t="shared" si="109"/>
        <v>4178203008</v>
      </c>
      <c r="T116" s="51">
        <f t="shared" si="109"/>
        <v>530450000</v>
      </c>
      <c r="U116" s="51">
        <f t="shared" si="109"/>
        <v>1071441613</v>
      </c>
      <c r="V116" s="51">
        <f t="shared" si="109"/>
        <v>1800354141</v>
      </c>
      <c r="W116" s="51">
        <f t="shared" si="109"/>
        <v>1570638184</v>
      </c>
      <c r="X116" s="51">
        <f t="shared" si="109"/>
        <v>119946741</v>
      </c>
      <c r="Y116" s="51">
        <f t="shared" si="109"/>
        <v>667371659</v>
      </c>
      <c r="Z116" s="51">
        <f t="shared" si="109"/>
        <v>33084973</v>
      </c>
      <c r="AA116" s="51">
        <f t="shared" si="109"/>
        <v>2316407856</v>
      </c>
      <c r="AB116" s="96">
        <f>+AC116/G116</f>
        <v>0.83440347690223238</v>
      </c>
      <c r="AC116" s="51">
        <f t="shared" ref="AC116:AW116" si="110">AC24+AC57+AC79+AC94+AC114</f>
        <v>18377619930</v>
      </c>
      <c r="AD116" s="51">
        <f t="shared" si="110"/>
        <v>443093108</v>
      </c>
      <c r="AE116" s="50">
        <f t="shared" si="110"/>
        <v>2645795199</v>
      </c>
      <c r="AF116" s="50">
        <f t="shared" si="110"/>
        <v>3359245909</v>
      </c>
      <c r="AG116" s="50">
        <f t="shared" si="110"/>
        <v>1886109367</v>
      </c>
      <c r="AH116" s="51">
        <f t="shared" si="110"/>
        <v>80883013</v>
      </c>
      <c r="AI116" s="51">
        <f t="shared" si="110"/>
        <v>11416500</v>
      </c>
      <c r="AJ116" s="51">
        <f t="shared" si="110"/>
        <v>12004716</v>
      </c>
      <c r="AK116" s="51">
        <f t="shared" si="110"/>
        <v>6840985</v>
      </c>
      <c r="AL116" s="51">
        <f t="shared" si="110"/>
        <v>30665828</v>
      </c>
      <c r="AM116" s="51">
        <f t="shared" si="110"/>
        <v>0</v>
      </c>
      <c r="AN116" s="51">
        <f t="shared" si="110"/>
        <v>135153822</v>
      </c>
      <c r="AO116" s="51">
        <f t="shared" si="110"/>
        <v>2951299250</v>
      </c>
      <c r="AP116" s="51">
        <f t="shared" si="110"/>
        <v>325413542</v>
      </c>
      <c r="AQ116" s="51">
        <f t="shared" si="110"/>
        <v>1029441613</v>
      </c>
      <c r="AR116" s="51">
        <f t="shared" si="110"/>
        <v>1565140669</v>
      </c>
      <c r="AS116" s="51">
        <f t="shared" si="110"/>
        <v>1539781663</v>
      </c>
      <c r="AT116" s="51">
        <f t="shared" si="110"/>
        <v>119946741</v>
      </c>
      <c r="AU116" s="51">
        <f t="shared" si="110"/>
        <v>667371659</v>
      </c>
      <c r="AV116" s="51">
        <f t="shared" si="110"/>
        <v>33084973</v>
      </c>
      <c r="AW116" s="51">
        <f t="shared" si="110"/>
        <v>1534931373</v>
      </c>
      <c r="AX116" s="97">
        <f>1-AB116</f>
        <v>0.16559652309776762</v>
      </c>
      <c r="AY116" s="51">
        <f t="shared" ref="AY116:BS116" si="111">AY24+AY57+AY79+AY94+AY114</f>
        <v>3647240271</v>
      </c>
      <c r="AZ116" s="51">
        <f t="shared" si="111"/>
        <v>16080898</v>
      </c>
      <c r="BA116" s="50">
        <f t="shared" si="111"/>
        <v>153159084</v>
      </c>
      <c r="BB116" s="50">
        <f t="shared" si="111"/>
        <v>640754091</v>
      </c>
      <c r="BC116" s="50">
        <f t="shared" si="111"/>
        <v>114438505</v>
      </c>
      <c r="BD116" s="51">
        <f t="shared" si="111"/>
        <v>0</v>
      </c>
      <c r="BE116" s="51">
        <f t="shared" si="111"/>
        <v>199380145</v>
      </c>
      <c r="BF116" s="51">
        <f t="shared" si="111"/>
        <v>0</v>
      </c>
      <c r="BG116" s="51">
        <f t="shared" si="111"/>
        <v>0</v>
      </c>
      <c r="BH116" s="51">
        <f t="shared" si="111"/>
        <v>0</v>
      </c>
      <c r="BI116" s="51">
        <f t="shared" si="111"/>
        <v>1940856</v>
      </c>
      <c r="BJ116" s="51">
        <f t="shared" si="111"/>
        <v>0</v>
      </c>
      <c r="BK116" s="51">
        <f t="shared" si="111"/>
        <v>1226903758</v>
      </c>
      <c r="BL116" s="51">
        <f t="shared" si="111"/>
        <v>205036458</v>
      </c>
      <c r="BM116" s="51">
        <f t="shared" si="111"/>
        <v>42000000</v>
      </c>
      <c r="BN116" s="51">
        <f t="shared" si="111"/>
        <v>235213472</v>
      </c>
      <c r="BO116" s="51">
        <f t="shared" si="111"/>
        <v>30856521</v>
      </c>
      <c r="BP116" s="51">
        <f t="shared" si="111"/>
        <v>0</v>
      </c>
      <c r="BQ116" s="51">
        <f t="shared" si="111"/>
        <v>0</v>
      </c>
      <c r="BR116" s="51">
        <f t="shared" si="111"/>
        <v>0</v>
      </c>
      <c r="BS116" s="51">
        <f t="shared" si="111"/>
        <v>781476483</v>
      </c>
      <c r="BT116" s="97">
        <f>+BU116/G116</f>
        <v>0.65143105754417319</v>
      </c>
      <c r="BU116" s="51">
        <f t="shared" ref="BU116:CO116" si="112">BU24+BU57+BU79+BU94+BU114</f>
        <v>14347677973</v>
      </c>
      <c r="BV116" s="51">
        <f t="shared" si="112"/>
        <v>236554614</v>
      </c>
      <c r="BW116" s="51">
        <f t="shared" si="112"/>
        <v>2391815929</v>
      </c>
      <c r="BX116" s="51">
        <f t="shared" si="112"/>
        <v>2483307200</v>
      </c>
      <c r="BY116" s="51">
        <f t="shared" si="112"/>
        <v>1185985714</v>
      </c>
      <c r="BZ116" s="51">
        <f t="shared" si="112"/>
        <v>7736670</v>
      </c>
      <c r="CA116" s="51">
        <f t="shared" si="112"/>
        <v>11416500</v>
      </c>
      <c r="CB116" s="51">
        <f t="shared" si="112"/>
        <v>12004716</v>
      </c>
      <c r="CC116" s="51">
        <f t="shared" si="112"/>
        <v>6840985</v>
      </c>
      <c r="CD116" s="51">
        <f t="shared" si="112"/>
        <v>30665828</v>
      </c>
      <c r="CE116" s="51">
        <f t="shared" si="112"/>
        <v>0</v>
      </c>
      <c r="CF116" s="51">
        <f t="shared" si="112"/>
        <v>10153894</v>
      </c>
      <c r="CG116" s="51">
        <f t="shared" si="112"/>
        <v>2680257182</v>
      </c>
      <c r="CH116" s="51">
        <f t="shared" si="112"/>
        <v>320470283</v>
      </c>
      <c r="CI116" s="51">
        <f t="shared" si="112"/>
        <v>457243876</v>
      </c>
      <c r="CJ116" s="51">
        <f t="shared" si="112"/>
        <v>1137076957</v>
      </c>
      <c r="CK116" s="51">
        <f t="shared" si="112"/>
        <v>1539700812</v>
      </c>
      <c r="CL116" s="51">
        <f t="shared" si="112"/>
        <v>44864678</v>
      </c>
      <c r="CM116" s="51">
        <f t="shared" si="112"/>
        <v>591018660</v>
      </c>
      <c r="CN116" s="51">
        <f t="shared" si="112"/>
        <v>32833600</v>
      </c>
      <c r="CO116" s="51">
        <f t="shared" si="112"/>
        <v>1167729875</v>
      </c>
      <c r="CP116" s="23">
        <f>1-BT116</f>
        <v>0.34856894245582681</v>
      </c>
      <c r="CQ116" s="51">
        <f t="shared" ref="CQ116:DK116" si="113">CQ24+CQ57+CQ79+CQ94+CQ114</f>
        <v>7677182228</v>
      </c>
      <c r="CR116" s="51">
        <f t="shared" si="113"/>
        <v>222619392</v>
      </c>
      <c r="CS116" s="51">
        <f t="shared" si="113"/>
        <v>407138354</v>
      </c>
      <c r="CT116" s="51">
        <f t="shared" si="113"/>
        <v>1516692800</v>
      </c>
      <c r="CU116" s="51">
        <f t="shared" si="113"/>
        <v>814562158</v>
      </c>
      <c r="CV116" s="51">
        <f t="shared" si="113"/>
        <v>73146343</v>
      </c>
      <c r="CW116" s="51">
        <f t="shared" si="113"/>
        <v>199380145</v>
      </c>
      <c r="CX116" s="51">
        <f t="shared" si="113"/>
        <v>0</v>
      </c>
      <c r="CY116" s="51">
        <f t="shared" si="113"/>
        <v>0</v>
      </c>
      <c r="CZ116" s="51">
        <f t="shared" si="113"/>
        <v>0</v>
      </c>
      <c r="DA116" s="51">
        <f t="shared" si="113"/>
        <v>1940856</v>
      </c>
      <c r="DB116" s="51">
        <f t="shared" si="113"/>
        <v>124999928</v>
      </c>
      <c r="DC116" s="51">
        <f t="shared" si="113"/>
        <v>1497945826</v>
      </c>
      <c r="DD116" s="51">
        <f t="shared" si="113"/>
        <v>209979717</v>
      </c>
      <c r="DE116" s="51">
        <f t="shared" si="113"/>
        <v>614197737</v>
      </c>
      <c r="DF116" s="51">
        <f t="shared" si="113"/>
        <v>663277184</v>
      </c>
      <c r="DG116" s="51">
        <f t="shared" si="113"/>
        <v>30937372</v>
      </c>
      <c r="DH116" s="51">
        <f t="shared" si="113"/>
        <v>75082063</v>
      </c>
      <c r="DI116" s="51">
        <f t="shared" si="113"/>
        <v>76352999</v>
      </c>
      <c r="DJ116" s="51">
        <f t="shared" si="113"/>
        <v>251373</v>
      </c>
      <c r="DK116" s="51">
        <f t="shared" si="113"/>
        <v>1148677981</v>
      </c>
      <c r="DM116" s="26">
        <f>+G116</f>
        <v>22024860201</v>
      </c>
      <c r="DN116" s="26">
        <f>+AC116+AY116</f>
        <v>22024860201</v>
      </c>
      <c r="DO116" s="26">
        <f>+BU116+CQ116</f>
        <v>22024860201</v>
      </c>
    </row>
    <row r="117" spans="1:120" ht="5.25" customHeight="1" x14ac:dyDescent="0.25">
      <c r="C117" s="98"/>
      <c r="D117" s="98"/>
      <c r="E117" s="99"/>
      <c r="F117" s="99"/>
      <c r="G117" s="100"/>
      <c r="H117" s="100"/>
      <c r="I117" s="101"/>
      <c r="J117" s="100"/>
      <c r="K117" s="100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  <c r="AA117" s="102"/>
      <c r="AB117" s="103"/>
      <c r="AC117" s="104"/>
      <c r="AD117" s="104"/>
      <c r="AE117" s="104"/>
      <c r="AF117" s="104"/>
      <c r="AG117" s="104"/>
      <c r="AH117" s="104"/>
      <c r="AI117" s="102"/>
      <c r="AJ117" s="102"/>
      <c r="AK117" s="102"/>
      <c r="AL117" s="102"/>
      <c r="AM117" s="102"/>
      <c r="AN117" s="102"/>
      <c r="AO117" s="102"/>
      <c r="AP117" s="102"/>
      <c r="AQ117" s="102"/>
      <c r="AR117" s="102"/>
      <c r="AS117" s="102"/>
      <c r="AT117" s="102"/>
      <c r="AU117" s="102"/>
      <c r="AV117" s="102"/>
      <c r="AW117" s="102"/>
      <c r="AX117" s="103"/>
      <c r="AY117" s="104"/>
      <c r="AZ117" s="104"/>
      <c r="BA117" s="104"/>
      <c r="BB117" s="104"/>
      <c r="BC117" s="104"/>
      <c r="BD117" s="105"/>
      <c r="BE117" s="105"/>
      <c r="BF117" s="105"/>
      <c r="BG117" s="105"/>
      <c r="BH117" s="105"/>
      <c r="BI117" s="105"/>
      <c r="BJ117" s="105"/>
      <c r="BK117" s="105"/>
      <c r="BL117" s="105"/>
      <c r="BM117" s="105"/>
      <c r="BN117" s="105"/>
      <c r="BO117" s="105"/>
      <c r="BP117" s="105"/>
      <c r="BQ117" s="105"/>
      <c r="BR117" s="105"/>
      <c r="BS117" s="105"/>
      <c r="BT117" s="103"/>
      <c r="BU117" s="106"/>
      <c r="BV117" s="107"/>
      <c r="BW117" s="107"/>
      <c r="BX117" s="107"/>
      <c r="BY117" s="107"/>
      <c r="BZ117" s="102"/>
      <c r="CA117" s="102"/>
      <c r="CB117" s="102"/>
      <c r="CC117" s="102"/>
      <c r="CD117" s="102"/>
      <c r="CE117" s="102"/>
      <c r="CF117" s="102"/>
      <c r="CG117" s="102"/>
      <c r="CH117" s="102"/>
      <c r="CI117" s="102"/>
      <c r="CJ117" s="102"/>
      <c r="CK117" s="102"/>
      <c r="CL117" s="102"/>
      <c r="CM117" s="102"/>
      <c r="CN117" s="102"/>
      <c r="CO117" s="102"/>
      <c r="CP117" s="23"/>
      <c r="CQ117" s="108"/>
      <c r="CR117" s="104"/>
      <c r="CS117" s="104"/>
      <c r="CT117" s="104"/>
      <c r="CU117" s="104"/>
      <c r="CV117" s="105"/>
      <c r="CW117" s="105"/>
      <c r="CX117" s="105"/>
      <c r="CY117" s="105"/>
      <c r="CZ117" s="105"/>
      <c r="DA117" s="105"/>
      <c r="DB117" s="105"/>
      <c r="DC117" s="105"/>
      <c r="DD117" s="105"/>
      <c r="DE117" s="105"/>
      <c r="DF117" s="105"/>
      <c r="DG117" s="105"/>
      <c r="DH117" s="105"/>
      <c r="DI117" s="105"/>
      <c r="DJ117" s="105"/>
      <c r="DK117" s="105"/>
      <c r="DM117" s="26"/>
      <c r="DN117" s="26"/>
      <c r="DO117" s="26"/>
    </row>
    <row r="118" spans="1:120" ht="16.5" customHeight="1" x14ac:dyDescent="0.25">
      <c r="C118" s="109"/>
      <c r="D118" s="110" t="s">
        <v>356</v>
      </c>
      <c r="E118" s="103">
        <v>111</v>
      </c>
      <c r="F118" s="111"/>
      <c r="G118" s="112">
        <f>SUMIF($E$4:$E$113,"111",$G$4:$G$113)</f>
        <v>2258401424</v>
      </c>
      <c r="H118" s="113">
        <f>SUMIF($E$4:$E$114,"111",$H$4:$H$114)</f>
        <v>181434097</v>
      </c>
      <c r="I118" s="113">
        <f>SUMIF($E$4:$E$114,"111",$I$4:$I$114)</f>
        <v>0</v>
      </c>
      <c r="J118" s="112">
        <f>SUMIF($E$4:$E$113,"111",$J$4:$J$113)</f>
        <v>100000000</v>
      </c>
      <c r="K118" s="112">
        <f>SUMIF($E$4:$E$113,"111",$K$4:$K$113)</f>
        <v>665649946</v>
      </c>
      <c r="L118" s="111">
        <f>SUMIF($E$4:$E$114,"111",$L$4:$L$114)</f>
        <v>0</v>
      </c>
      <c r="M118" s="111">
        <f>SUMIF($E$4:$E$113,"111",$M$4:$M$113)</f>
        <v>0</v>
      </c>
      <c r="N118" s="111">
        <f>SUMIF($E$4:$E$113,"111",$N$4:$N$113)</f>
        <v>12004716</v>
      </c>
      <c r="O118" s="111">
        <f>SUMIF($E$4:$E$113,"111",$O$4:$O$113)</f>
        <v>6840985</v>
      </c>
      <c r="P118" s="111">
        <f>SUMIF($E$4:$E$113,"111",$P$4:$P$113)</f>
        <v>30665828</v>
      </c>
      <c r="Q118" s="111">
        <f>SUMIF($E$4:$E$113,"111",$Q$4:$Q$113)</f>
        <v>0</v>
      </c>
      <c r="R118" s="111">
        <f>SUMIF($E$4:$E$113,"111",$R$4:$R$113)</f>
        <v>0</v>
      </c>
      <c r="S118" s="111">
        <f>SUMIF($E$4:$E$113,"111",$S$4:$S$113)</f>
        <v>0</v>
      </c>
      <c r="T118" s="111">
        <f>SUMIF($E$4:$E$113,"111",$T$4:$T$113)</f>
        <v>100000000</v>
      </c>
      <c r="U118" s="111">
        <f>SUMIF($E$4:$E$113,"111",$U$4:$U$113)</f>
        <v>332000000</v>
      </c>
      <c r="V118" s="111">
        <f>SUMIF($E$4:$E$113,"111",$V$4:$V$113)</f>
        <v>200000000</v>
      </c>
      <c r="W118" s="111">
        <f>SUMIF($E$4:$E$113,"111",$W$4:$W$113)</f>
        <v>0</v>
      </c>
      <c r="X118" s="111"/>
      <c r="Y118" s="111">
        <f>SUMIF($E$4:$E$113,"111",$Y$4:$Y$113)</f>
        <v>0</v>
      </c>
      <c r="Z118" s="111">
        <f>SUMIF($E$4:$E$113,"111",$Z$4:$Z$113)</f>
        <v>0</v>
      </c>
      <c r="AA118" s="111">
        <f>SUMIF($E$4:$E$113,"111",$AA$4:$AA$113)</f>
        <v>629805852</v>
      </c>
      <c r="AB118" s="114">
        <f t="shared" ref="AB118:AB127" si="114">+AC118/G118</f>
        <v>0.77908103417844821</v>
      </c>
      <c r="AC118" s="25">
        <f t="shared" ref="AC118:AC124" si="115">SUM(AD118:AW118)</f>
        <v>1759477717</v>
      </c>
      <c r="AD118" s="112">
        <f>SUMIF($E$4:$E$113,"111",$AD$4:$AD$113)</f>
        <v>181434097</v>
      </c>
      <c r="AE118" s="112">
        <f>SUMIF($E$4:$E$113,"111",$AE$4:$AE$113)</f>
        <v>0</v>
      </c>
      <c r="AF118" s="112">
        <f>SUMIF($E$4:$E$113,"111",$AF$4:$AF$113)</f>
        <v>35881866</v>
      </c>
      <c r="AG118" s="112">
        <f>SUMIF($E$4:$E$113,"111",$AG$4:$AG$113)</f>
        <v>626897592</v>
      </c>
      <c r="AH118" s="112">
        <f>SUMIF($E$4:$E$113,"111",$AH$4:$AH$113)</f>
        <v>0</v>
      </c>
      <c r="AI118" s="112">
        <f>SUMIF($E$4:$E$113,"111",$AI$4:$AI$113)</f>
        <v>0</v>
      </c>
      <c r="AJ118" s="112">
        <f>SUMIF($E$4:$E$113,"111",$AJ$4:$AJ$113)</f>
        <v>12004716</v>
      </c>
      <c r="AK118" s="112">
        <f>SUMIF($E$4:$E$113,"111",$AK$4:$AK$113)</f>
        <v>6840985</v>
      </c>
      <c r="AL118" s="112">
        <f>SUMIF($E$4:$E$113,"111",$AL$4:$AL$113)</f>
        <v>30665828</v>
      </c>
      <c r="AM118" s="112">
        <f>SUMIF($E$4:$E$113,"111",$AM$4:$AM$113)</f>
        <v>0</v>
      </c>
      <c r="AN118" s="112">
        <f>SUMIF($E$4:$E$113,"111",$AN$4:$AN$113)</f>
        <v>0</v>
      </c>
      <c r="AO118" s="112">
        <f>SUMIF($E$4:$E$113,"111",$AO$4:$AO$113)</f>
        <v>0</v>
      </c>
      <c r="AP118" s="112">
        <f>SUMIF($E$4:$E$113,"111",$AP$4:$AP$113)</f>
        <v>100000000</v>
      </c>
      <c r="AQ118" s="112">
        <f>SUMIF($E$4:$E$113,"111",$AQ$4:$AQ$113)</f>
        <v>290000000</v>
      </c>
      <c r="AR118" s="112">
        <f>SUMIF($E$4:$E$113,"111",$AR$4:$AR$113)</f>
        <v>189069282</v>
      </c>
      <c r="AS118" s="112">
        <f>SUMIF($E$4:$E$113,"111",$AS$4:$AS$113)</f>
        <v>0</v>
      </c>
      <c r="AT118" s="112">
        <f>SUMIF($E$4:$E$113,"111",$AT$4:$AT$113)</f>
        <v>0</v>
      </c>
      <c r="AU118" s="112">
        <f>SUMIF($E$4:$E$113,"111",$AU$4:$AU$113)</f>
        <v>0</v>
      </c>
      <c r="AV118" s="112">
        <f>SUMIF($E$4:$E$113,"111",$AV$4:$AV$113)</f>
        <v>0</v>
      </c>
      <c r="AW118" s="112">
        <f>SUMIF($E$4:$E$113,"111",$AW$4:$AW$113)</f>
        <v>286683351</v>
      </c>
      <c r="AX118" s="97">
        <f t="shared" ref="AX118:AX127" si="116">1-AB118</f>
        <v>0.22091896582155179</v>
      </c>
      <c r="AY118" s="25">
        <f t="shared" ref="AY118:AY124" si="117">SUM(AZ118:BS118)</f>
        <v>498923707</v>
      </c>
      <c r="AZ118" s="115">
        <f>SUMIF($E$4:$E$113,"111",$AZ$4:$AZ$113)</f>
        <v>0</v>
      </c>
      <c r="BA118" s="115">
        <f>SUMIF($E$4:$E$113,"111",$BA$4:$BA$113)</f>
        <v>0</v>
      </c>
      <c r="BB118" s="115">
        <f>SUMIF($E$4:$E$113,"111",$BB$4:$BB$113)</f>
        <v>64118134</v>
      </c>
      <c r="BC118" s="115">
        <f>SUMIF($E$4:$E$113,"111",$BC$4:$BC$113)</f>
        <v>38752354</v>
      </c>
      <c r="BD118" s="115">
        <f>SUMIF($E$4:$E$113,"111",$BD$4:$BD$113)</f>
        <v>0</v>
      </c>
      <c r="BE118" s="115">
        <f>SUMIF($E$4:$E$113,"111",$BE$4:$BE$113)</f>
        <v>0</v>
      </c>
      <c r="BF118" s="115">
        <f>SUMIF($E$4:$E$113,"111",$BF$4:$BF$113)</f>
        <v>0</v>
      </c>
      <c r="BG118" s="115">
        <f>SUMIF($E$4:$E$113,"111",$BG$4:$BG$113)</f>
        <v>0</v>
      </c>
      <c r="BH118" s="115">
        <f>SUMIF($E$4:$E$113,"111",$BH$4:$BH$113)</f>
        <v>0</v>
      </c>
      <c r="BI118" s="115">
        <f>SUMIF($E$4:$E$113,"111",$BI$4:$BI$113)</f>
        <v>0</v>
      </c>
      <c r="BJ118" s="115">
        <f>SUMIF($E$4:$E$113,"111",$BJ$4:$BJ$113)</f>
        <v>0</v>
      </c>
      <c r="BK118" s="115">
        <f>SUMIF($E$4:$E$113,"111",$BK$4:$BK$113)</f>
        <v>0</v>
      </c>
      <c r="BL118" s="115">
        <f>SUMIF($E$4:$E$113,"111",$BL$4:$BL$113)</f>
        <v>0</v>
      </c>
      <c r="BM118" s="115">
        <f>SUMIF($E$4:$E$113,"111",$BM$4:$BM$113)</f>
        <v>42000000</v>
      </c>
      <c r="BN118" s="115">
        <f>SUMIF($E$4:$E$113,"111",$BN$4:$BN$113)</f>
        <v>10930718</v>
      </c>
      <c r="BO118" s="115">
        <f>SUMIF($E$4:$E$113,"111",$BO$4:$BO$113)</f>
        <v>0</v>
      </c>
      <c r="BP118" s="115">
        <f>SUMIF($E$4:$E$113,"111",$BP$4:$BP$113)</f>
        <v>0</v>
      </c>
      <c r="BQ118" s="115">
        <f>SUMIF($E$4:$E$113,"111",$BQ$4:$BQ$113)</f>
        <v>0</v>
      </c>
      <c r="BR118" s="115">
        <f>SUMIF($E$4:$E$113,"111",$BR$4:$BR$113)</f>
        <v>0</v>
      </c>
      <c r="BS118" s="116">
        <f>SUMIF($E$4:$E$113,"111",$BS$4:$BS$113)</f>
        <v>343122501</v>
      </c>
      <c r="BT118" s="117">
        <f t="shared" ref="BT118:BT127" si="118">+BU118/G118</f>
        <v>0.38166371303173602</v>
      </c>
      <c r="BU118" s="33">
        <f t="shared" ref="BU118:BU125" si="119">SUM(BV118:CO118)</f>
        <v>861949873</v>
      </c>
      <c r="BV118" s="112">
        <f>SUMIF($E$4:$E$113,"111",$BV$4:$BV$113)</f>
        <v>0</v>
      </c>
      <c r="BW118" s="112">
        <f>SUMIF($E$4:$E$113,"111",$BW$4:$BW$113)</f>
        <v>0</v>
      </c>
      <c r="BX118" s="112">
        <f>SUMIF($E$4:$E$113,"111",$BX$4:$BX$113)</f>
        <v>23731866</v>
      </c>
      <c r="BY118" s="112">
        <f>SUMIF($E$4:$E$113,"111",$BY$4:$BY$113)</f>
        <v>74160140</v>
      </c>
      <c r="BZ118" s="112">
        <f>SUMIF($E$4:$E$113,"111",$BZ$4:$BZ$113)</f>
        <v>0</v>
      </c>
      <c r="CA118" s="112">
        <f>SUMIF($E$4:$E$113,"111",$CA$4:$CA$113)</f>
        <v>0</v>
      </c>
      <c r="CB118" s="112">
        <f t="shared" ref="CB118" si="120">SUMIF($E$4:$E$113,"111",$CB$4:$CB$113)</f>
        <v>12004716</v>
      </c>
      <c r="CC118" s="112">
        <f>SUMIF($E$4:$E$113,"111",$CC$4:$CC$113)</f>
        <v>6840985</v>
      </c>
      <c r="CD118" s="112">
        <f>SUMIF($E$4:$E$113,"111",$CD$4:$CD$113)</f>
        <v>30665828</v>
      </c>
      <c r="CE118" s="112">
        <f>SUMIF($E$4:$E$113,"111",$CE$4:$CE$113)</f>
        <v>0</v>
      </c>
      <c r="CF118" s="112">
        <f>SUMIF($E$4:$E$113,"111",$CF$4:$CF$113)</f>
        <v>0</v>
      </c>
      <c r="CG118" s="112">
        <f>SUMIF($E$4:$E$113,"111",$CG$4:$CG$113)</f>
        <v>0</v>
      </c>
      <c r="CH118" s="112">
        <f>SUMIF($E$4:$E$113,"111",$CH$4:$CH$113)</f>
        <v>100000000</v>
      </c>
      <c r="CI118" s="112">
        <f>SUMIF($E$4:$E$113,"111",$CI$4:$CI$113)</f>
        <v>141978128</v>
      </c>
      <c r="CJ118" s="112">
        <f>SUMIF($E$4:$E$113,"111",$CJ$4:$CJ$113)</f>
        <v>189069282</v>
      </c>
      <c r="CK118" s="112">
        <f>SUMIF($E$4:$E$113,"111",$CK$4:$CK$113)</f>
        <v>0</v>
      </c>
      <c r="CL118" s="112">
        <f>SUMIF($E$4:$E$113,"111",$CL$4:$CL$113)</f>
        <v>0</v>
      </c>
      <c r="CM118" s="112">
        <f>SUMIF($E$4:$E$113,"111",$CM$4:$CM$113)</f>
        <v>0</v>
      </c>
      <c r="CN118" s="112">
        <f>SUMIF($E$4:$E$113,"111",$CN$4:$CN$113)</f>
        <v>0</v>
      </c>
      <c r="CO118" s="118">
        <f>SUMIF($E$4:$E$113,"111",$CO$4:$CO$113)</f>
        <v>283498928</v>
      </c>
      <c r="CP118" s="23">
        <f t="shared" ref="CP118:CP127" si="121">1-BT118</f>
        <v>0.61833628696826404</v>
      </c>
      <c r="CQ118" s="25">
        <f t="shared" ref="CQ118:CQ124" si="122">SUM(CR118:DK118)</f>
        <v>1396451551</v>
      </c>
      <c r="CR118" s="115">
        <f>SUMIF($E$4:$E$113,"111",$CR$4:$CR$113)</f>
        <v>181434097</v>
      </c>
      <c r="CS118" s="115">
        <f>SUMIF($E$4:$E$113,"111",$CS$4:$CS$113)</f>
        <v>0</v>
      </c>
      <c r="CT118" s="115">
        <f>SUMIF($E$4:$E$113,"111",$CT$4:$CT$113)</f>
        <v>76268134</v>
      </c>
      <c r="CU118" s="115">
        <f>SUMIF($E$4:$E$113,"111",$CU$4:$CU$113)</f>
        <v>591489806</v>
      </c>
      <c r="CV118" s="115">
        <f>SUMIF($E$4:$E$113,"111",$CV$4:$CV$113)</f>
        <v>0</v>
      </c>
      <c r="CW118" s="115">
        <f>SUMIF($E$4:$E$113,"111",$CW$4:$CW$113)</f>
        <v>0</v>
      </c>
      <c r="CX118" s="115">
        <f>SUMIF($E$4:$E$113,"111",$CX$4:$CX$113)</f>
        <v>0</v>
      </c>
      <c r="CY118" s="115">
        <f>SUMIF($E$4:$E$113,"111",$CY$4:$CY$113)</f>
        <v>0</v>
      </c>
      <c r="CZ118" s="115">
        <f>SUMIF($E$4:$E$113,"111",$CZ$4:$CZ$113)</f>
        <v>0</v>
      </c>
      <c r="DA118" s="119">
        <f>SUMIF($E$4:$E$113,"111",$DA$4:$DA$113)</f>
        <v>0</v>
      </c>
      <c r="DB118" s="119">
        <f>SUMIF($E$4:$E$113,"111",$DB$4:$DB$113)</f>
        <v>0</v>
      </c>
      <c r="DC118" s="119">
        <f>SUMIF($E$4:$E$113,"111",$DC$4:$DC$113)</f>
        <v>0</v>
      </c>
      <c r="DD118" s="119">
        <f>SUMIF($E$4:$E$113,"111",$DD$4:$DD$113)</f>
        <v>0</v>
      </c>
      <c r="DE118" s="119">
        <f>SUMIF($E$4:$E$113,"111",$DE$4:$DE$113)</f>
        <v>190021872</v>
      </c>
      <c r="DF118" s="119">
        <f>SUMIF($E$4:$E$113,"111",$DF$4:$DF$113)</f>
        <v>10930718</v>
      </c>
      <c r="DG118" s="119">
        <f>SUMIF($E$4:$E$113,"111",$DG$4:$DG$113)</f>
        <v>0</v>
      </c>
      <c r="DH118" s="119">
        <f>SUMIF($E$4:$E$113,"111",$DH$4:$DH$113)</f>
        <v>0</v>
      </c>
      <c r="DI118" s="119">
        <f>SUMIF($E$4:$E$113,"111",$DI$4:$DI$113)</f>
        <v>0</v>
      </c>
      <c r="DJ118" s="119">
        <f>SUMIF($E$4:$E$113,"111",$DJ$4:$DJ$113)</f>
        <v>0</v>
      </c>
      <c r="DK118" s="119">
        <f>SUMIF($E$4:$E$113,"111",$DK$4:$DK$113)</f>
        <v>346306924</v>
      </c>
      <c r="DM118" s="26">
        <f t="shared" ref="DM118:DM127" si="123">+G118</f>
        <v>2258401424</v>
      </c>
      <c r="DN118" s="26">
        <f t="shared" ref="DN118:DN127" si="124">+AC118+AY118</f>
        <v>2258401424</v>
      </c>
      <c r="DO118" s="26">
        <f t="shared" ref="DO118:DO127" si="125">+BU118+CQ118</f>
        <v>2258401424</v>
      </c>
    </row>
    <row r="119" spans="1:120" ht="18" customHeight="1" x14ac:dyDescent="0.25">
      <c r="C119" s="120"/>
      <c r="D119" s="110" t="s">
        <v>357</v>
      </c>
      <c r="E119" s="103">
        <v>211</v>
      </c>
      <c r="F119" s="111"/>
      <c r="G119" s="112">
        <f>SUMIF($E$4:$E$113,"211",$G$4:$G$113)</f>
        <v>3737298707</v>
      </c>
      <c r="H119" s="113">
        <f>SUMIF($E$4:$E$114,"211",$H$4:$H$114)</f>
        <v>0</v>
      </c>
      <c r="I119" s="113">
        <f>SUMIF($E$4:$E$114,"211",$I$4:$I$114)</f>
        <v>112000000</v>
      </c>
      <c r="J119" s="112">
        <f>SUMIF($E$4:$E$113,"211",$J$4:$J$113)</f>
        <v>1050000000</v>
      </c>
      <c r="K119" s="112">
        <f>SUMIF($E$4:$E$113,"211",$K$4:$K$113)</f>
        <v>815752314</v>
      </c>
      <c r="L119" s="111">
        <f>SUMIF($E$4:$E$113,"211",$L$4:$L$113)</f>
        <v>80883013</v>
      </c>
      <c r="M119" s="111">
        <f>SUMIF($E$4:$E$113,"211",$M$4:$M$113)</f>
        <v>210796645</v>
      </c>
      <c r="N119" s="111">
        <f>SUMIF($E$4:$E$113,"211",$N$4:$N$113)</f>
        <v>0</v>
      </c>
      <c r="O119" s="111">
        <f>SUMIF($E$4:$E$113,"211",$O$4:$O$113)</f>
        <v>0</v>
      </c>
      <c r="P119" s="111">
        <f>SUMIF($E$4:$E$113,"211",$P$4:$P$113)</f>
        <v>0</v>
      </c>
      <c r="Q119" s="111">
        <f>SUMIF($E$4:$E$113,"211",$Q$4:$Q$113)</f>
        <v>1940856</v>
      </c>
      <c r="R119" s="111">
        <f>SUMIF($E$4:$E$113,"211",$R$4:$R$113)</f>
        <v>135153822</v>
      </c>
      <c r="S119" s="111">
        <f>SUMIF($E$4:$E$113,"211",$S$4:$S$113)</f>
        <v>0</v>
      </c>
      <c r="T119" s="111">
        <f>SUMIF($E$4:$E$113,"211",$T$4:$T$113)</f>
        <v>200000000</v>
      </c>
      <c r="U119" s="111">
        <f>SUMIF($E$4:$E$113,"211",$U$4:$U$113)</f>
        <v>120224400</v>
      </c>
      <c r="V119" s="111">
        <f>SUMIF($E$4:$E$113,"211",$V$4:$V$113)</f>
        <v>559993410</v>
      </c>
      <c r="W119" s="111">
        <f>SUMIF($E$4:$E$113,"211",$W$4:$W$113)</f>
        <v>0</v>
      </c>
      <c r="X119" s="111"/>
      <c r="Y119" s="111">
        <f>SUMIF($E$4:$E$113,"211",$Y$4:$Y$113)</f>
        <v>0</v>
      </c>
      <c r="Z119" s="111">
        <f>SUMIF($E$4:$E$113,"211",$Z$4:$Z$113)</f>
        <v>0</v>
      </c>
      <c r="AA119" s="111">
        <f>SUMIF($E$4:$E$113,"211",$AA$4:$AA$113)</f>
        <v>450554247</v>
      </c>
      <c r="AB119" s="114">
        <f t="shared" si="114"/>
        <v>0.79413314633937826</v>
      </c>
      <c r="AC119" s="25">
        <f t="shared" si="115"/>
        <v>2967912781</v>
      </c>
      <c r="AD119" s="112">
        <f>SUMIF($E$4:$E$113,"211",$AD$4:$AD$113)</f>
        <v>0</v>
      </c>
      <c r="AE119" s="112">
        <f>SUMIF($E$4:$E$113,"211",$AE$4:$AE$113)</f>
        <v>110997152</v>
      </c>
      <c r="AF119" s="112">
        <f>SUMIF($E$4:$E$113,"211",$AF$4:$AF$113)</f>
        <v>871093442</v>
      </c>
      <c r="AG119" s="112">
        <f>SUMIF($E$4:$E$113,"211",$AG$4:$AG$113)</f>
        <v>815752314</v>
      </c>
      <c r="AH119" s="112">
        <f>SUMIF($E$4:$E$113,"211",$AH$4:$AH$113)</f>
        <v>80883013</v>
      </c>
      <c r="AI119" s="112">
        <f>SUMIF($E$4:$E$113,"211",$AI$4:$AI$113)</f>
        <v>11416500</v>
      </c>
      <c r="AJ119" s="112">
        <f>SUMIF($E$4:$E$113,"211",$AJ$4:$AJ$113)</f>
        <v>0</v>
      </c>
      <c r="AK119" s="112">
        <f>SUMIF($E$4:$E$113,"211",$AK$4:$AK$113)</f>
        <v>0</v>
      </c>
      <c r="AL119" s="112">
        <f>SUMIF($E$4:$E$113,"211",$AL$4:$AL$113)</f>
        <v>0</v>
      </c>
      <c r="AM119" s="112">
        <f>SUMIF($E$4:$E$113,"211",$AM$4:$AM$113)</f>
        <v>0</v>
      </c>
      <c r="AN119" s="112">
        <f>SUMIF($E$4:$E$113,"211",$AN$4:$AN$113)</f>
        <v>135153822</v>
      </c>
      <c r="AO119" s="112">
        <f>SUMIF($E$4:$E$113,"211",$AO$4:$AO$113)</f>
        <v>0</v>
      </c>
      <c r="AP119" s="112">
        <f>SUMIF($E$4:$E$113,"211",$AP$4:$AP$113)</f>
        <v>49455530</v>
      </c>
      <c r="AQ119" s="112">
        <f>SUMIF($E$4:$E$113,"211",$AQ$4:$AQ$113)</f>
        <v>120224400</v>
      </c>
      <c r="AR119" s="112">
        <f>SUMIF($E$4:$E$113,"211",$AR$4:$AR$113)</f>
        <v>476523777</v>
      </c>
      <c r="AS119" s="112">
        <f>SUMIF($E$4:$E$113,"211",$AS$4:$AS$113)</f>
        <v>0</v>
      </c>
      <c r="AT119" s="112">
        <f>SUMIF($E$4:$E$113,"211",$AT$4:$AT$113)</f>
        <v>0</v>
      </c>
      <c r="AU119" s="112">
        <f>SUMIF($E$4:$E$113,"211",$AU$4:$AU$113)</f>
        <v>0</v>
      </c>
      <c r="AV119" s="112">
        <f>SUMIF($E$4:$E$113,"211",$AV$4:$AV$113)</f>
        <v>0</v>
      </c>
      <c r="AW119" s="112">
        <f>SUMIF($E$4:$E$113,"211",$AW$4:$AW$113)</f>
        <v>296412831</v>
      </c>
      <c r="AX119" s="97">
        <f t="shared" si="116"/>
        <v>0.20586685366062174</v>
      </c>
      <c r="AY119" s="25">
        <f t="shared" si="117"/>
        <v>769385926</v>
      </c>
      <c r="AZ119" s="115">
        <f>SUMIF($E$4:$E$113,"211",$AZ$4:$AZ$113)</f>
        <v>0</v>
      </c>
      <c r="BA119" s="115">
        <f>SUMIF($E$4:$E$113,"211",$BA$4:$BA$113)</f>
        <v>1002848</v>
      </c>
      <c r="BB119" s="115">
        <f>SUMIF($E$4:$E$113,"211",$BB$4:$BB$113)</f>
        <v>178906558</v>
      </c>
      <c r="BC119" s="115">
        <f>SUMIF($E$4:$E$113,"211",$BC$4:$BC$113)</f>
        <v>0</v>
      </c>
      <c r="BD119" s="115">
        <f>SUMIF($E$4:$E$113,"211",$BD$4:$BD$113)</f>
        <v>0</v>
      </c>
      <c r="BE119" s="115">
        <f>SUMIF($E$4:$E$113,"211",$BE$4:$BE$113)</f>
        <v>199380145</v>
      </c>
      <c r="BF119" s="115">
        <f>SUMIF($E$4:$E$113,"211",$BF$4:$BF$113)</f>
        <v>0</v>
      </c>
      <c r="BG119" s="115">
        <f>SUMIF($E$4:$E$113,"211",$BG$4:$BG$113)</f>
        <v>0</v>
      </c>
      <c r="BH119" s="115">
        <f>SUMIF($E$4:$E$113,"211",$BH$4:$BH$113)</f>
        <v>0</v>
      </c>
      <c r="BI119" s="115">
        <f>SUMIF($E$4:$E$113,"211",$BI$4:$BI$113)</f>
        <v>1940856</v>
      </c>
      <c r="BJ119" s="115">
        <f>SUMIF($E$4:$E$113,"211",$BJ$4:$BJ$113)</f>
        <v>0</v>
      </c>
      <c r="BK119" s="115">
        <f>SUMIF($E$4:$E$113,"211",$BK$4:$BK$113)</f>
        <v>0</v>
      </c>
      <c r="BL119" s="115">
        <f>SUMIF($E$4:$E$113,"211",$BL$4:$BL$113)</f>
        <v>150544470</v>
      </c>
      <c r="BM119" s="115">
        <f>SUMIF($E$4:$E$113,"211",$BM$4:$BM$113)</f>
        <v>0</v>
      </c>
      <c r="BN119" s="115">
        <f>SUMIF($E$4:$E$113,"211",$BN$4:$BN$113)</f>
        <v>83469633</v>
      </c>
      <c r="BO119" s="115">
        <f>SUMIF($E$4:$E$113,"211",$BO$4:$BO$113)</f>
        <v>0</v>
      </c>
      <c r="BP119" s="115">
        <f>SUMIF($E$4:$E$113,"211",$BP$4:$BP$113)</f>
        <v>0</v>
      </c>
      <c r="BQ119" s="115">
        <f>SUMIF($E$4:$E$113,"211",$BQ$4:$BQ$113)</f>
        <v>0</v>
      </c>
      <c r="BR119" s="115">
        <f>SUMIF($E$4:$E$113,"211",$BR$4:$BR$113)</f>
        <v>0</v>
      </c>
      <c r="BS119" s="116">
        <f>SUMIF($E$4:$E$113,"211",$BS$4:$BS$113)</f>
        <v>154141416</v>
      </c>
      <c r="BT119" s="117">
        <f t="shared" si="118"/>
        <v>0.56483359145100309</v>
      </c>
      <c r="BU119" s="33">
        <f t="shared" si="119"/>
        <v>2110951851</v>
      </c>
      <c r="BV119" s="112">
        <f>SUMIF($E$4:$E$113,"211",$BV$4:$BV$113)</f>
        <v>0</v>
      </c>
      <c r="BW119" s="112">
        <f>SUMIF($E$4:$E$113,"211",$BW$4:$BW$113)</f>
        <v>110832974</v>
      </c>
      <c r="BX119" s="112">
        <f>SUMIF($E$4:$E$113,"211",$BX$4:$BX$113)</f>
        <v>647203333</v>
      </c>
      <c r="BY119" s="112">
        <f>SUMIF($E$4:$E$113,"211",$BY$4:$BY$113)</f>
        <v>697857678</v>
      </c>
      <c r="BZ119" s="112">
        <f>SUMIF($E$4:$E$113,"211",$BZ$4:$BZ$113)</f>
        <v>7736670</v>
      </c>
      <c r="CA119" s="112">
        <f>SUMIF($E$4:$E$113,"211",$CA$4:$CA$113)</f>
        <v>11416500</v>
      </c>
      <c r="CB119" s="112">
        <f>SUMIF($E$4:$E$113,"211",$CB$4:$CB$113)</f>
        <v>0</v>
      </c>
      <c r="CC119" s="112"/>
      <c r="CD119" s="112">
        <f>SUMIF($E$4:$E$113,"211",$CD$4:$CD$113)</f>
        <v>0</v>
      </c>
      <c r="CE119" s="112">
        <f>SUMIF($E$4:$E$113,"211",$CE$4:$CE$113)</f>
        <v>0</v>
      </c>
      <c r="CF119" s="112">
        <f>SUMIF($E$4:$E$113,"211",$CF$4:$CF$113)</f>
        <v>10153894</v>
      </c>
      <c r="CG119" s="112">
        <f>SUMIF($E$4:$E$113,"211",$CG$4:$CG$113)</f>
        <v>0</v>
      </c>
      <c r="CH119" s="112">
        <f>SUMIF($E$4:$E$113,"211",$CH$4:$CH$113)</f>
        <v>49455530</v>
      </c>
      <c r="CI119" s="112">
        <f>SUMIF($E$4:$E$113,"211",$CI$4:$CI$113)</f>
        <v>0</v>
      </c>
      <c r="CJ119" s="112">
        <f>SUMIF($E$4:$E$113,"211",$CJ$4:$CJ$113)</f>
        <v>468270043</v>
      </c>
      <c r="CK119" s="112">
        <f>SUMIF($E$4:$E$113,"211",$CK$4:$CK$113)</f>
        <v>0</v>
      </c>
      <c r="CL119" s="112">
        <f>SUMIF($E$4:$E$113,"211",$CL$4:$CL$113)</f>
        <v>0</v>
      </c>
      <c r="CM119" s="112">
        <f>SUMIF($E$4:$E$113,"211",$CM$4:$CM$113)</f>
        <v>0</v>
      </c>
      <c r="CN119" s="112">
        <f>SUMIF($E$4:$E$113,"211",$CN$4:$CN$113)</f>
        <v>0</v>
      </c>
      <c r="CO119" s="118">
        <f>SUMIF($E$4:$E$113,"211",$CO$4:$CO$113)</f>
        <v>108025229</v>
      </c>
      <c r="CP119" s="23">
        <f t="shared" si="121"/>
        <v>0.43516640854899691</v>
      </c>
      <c r="CQ119" s="25">
        <f t="shared" ca="1" si="122"/>
        <v>1626346856</v>
      </c>
      <c r="CR119" s="115">
        <f ca="1">SUMIF($E$4:$E$114,"211",$CR$4:$CR$113)</f>
        <v>0</v>
      </c>
      <c r="CS119" s="115">
        <f>SUMIF($E$4:$E$113,"211",$CS$4:$CS$113)</f>
        <v>1167026</v>
      </c>
      <c r="CT119" s="115">
        <f>SUMIF($E$4:$E$113,"211",$CT$4:$CT$113)</f>
        <v>402796667</v>
      </c>
      <c r="CU119" s="115">
        <f>SUMIF($E$4:$E$113,"211",$CU$4:$CU$113)</f>
        <v>117894636</v>
      </c>
      <c r="CV119" s="115">
        <f>SUMIF($E$4:$E$113,"211",$CV$4:$CV$113)</f>
        <v>73146343</v>
      </c>
      <c r="CW119" s="115">
        <f>SUMIF($E$4:$E$113,"211",$CW$4:$CW$113)</f>
        <v>199380145</v>
      </c>
      <c r="CX119" s="115">
        <f>SUMIF($E$4:$E$113,"211",$CX$4:$CX$113)</f>
        <v>0</v>
      </c>
      <c r="CY119" s="115">
        <f>SUMIF($E$4:$E$113,"211",$CY$4:$CY$113)</f>
        <v>0</v>
      </c>
      <c r="CZ119" s="119">
        <f>SUMIF($E$4:$E$113,"211",$CZ$4:$CZ$113)</f>
        <v>0</v>
      </c>
      <c r="DA119" s="119">
        <f>SUMIF($E$4:$E$113,"211",$DA$4:$DA$113)</f>
        <v>1940856</v>
      </c>
      <c r="DB119" s="119">
        <f>SUMIF($E$4:$E$113,"211",$DB$4:$DB$113)</f>
        <v>124999928</v>
      </c>
      <c r="DC119" s="119">
        <f>SUMIF($E$4:$E$113,"211",$DC$4:$DC$113)</f>
        <v>0</v>
      </c>
      <c r="DD119" s="119">
        <f>SUMIF($E$4:$E$113,"211",$DD$4:$DD$113)</f>
        <v>150544470</v>
      </c>
      <c r="DE119" s="119">
        <f>SUMIF($E$4:$E$113,"211",$DE$4:$DE$113)</f>
        <v>120224400</v>
      </c>
      <c r="DF119" s="119">
        <f>SUMIF($E$4:$E$113,"211",$DF$4:$DF$113)</f>
        <v>91723367</v>
      </c>
      <c r="DG119" s="119">
        <f>SUMIF($E$4:$E$113,"211",$DG$4:$DG$113)</f>
        <v>0</v>
      </c>
      <c r="DH119" s="119">
        <f>SUMIF($E$4:$E$113,"211",$DH$4:$DH$113)</f>
        <v>0</v>
      </c>
      <c r="DI119" s="119">
        <f>SUMIF($E$4:$E$113,"211",$DI$4:$DI$113)</f>
        <v>0</v>
      </c>
      <c r="DJ119" s="119">
        <f>SUMIF($E$4:$E$113,"211",$DJ$4:$DJ$113)</f>
        <v>0</v>
      </c>
      <c r="DK119" s="119">
        <f>SUMIF($E$4:$E$113,"211",$DK$4:$DK$113)</f>
        <v>342529018</v>
      </c>
      <c r="DM119" s="26">
        <f t="shared" si="123"/>
        <v>3737298707</v>
      </c>
      <c r="DN119" s="26">
        <f t="shared" si="124"/>
        <v>3737298707</v>
      </c>
      <c r="DO119" s="26">
        <f t="shared" ca="1" si="125"/>
        <v>3737298707</v>
      </c>
    </row>
    <row r="120" spans="1:120" ht="16.5" customHeight="1" x14ac:dyDescent="0.25">
      <c r="C120" s="120"/>
      <c r="D120" s="110" t="s">
        <v>358</v>
      </c>
      <c r="E120" s="103">
        <v>310</v>
      </c>
      <c r="F120" s="111"/>
      <c r="G120" s="112">
        <f>SUMIF($E$4:$E$113,"310",$G$4:$G$114)</f>
        <v>787030623</v>
      </c>
      <c r="H120" s="113">
        <f>SUMIF($E$4:$E$113,"310",$H$4:$H$113)</f>
        <v>0</v>
      </c>
      <c r="I120" s="113">
        <f>SUMIF($E$4:$E$113,"310",$I$4:$I$113)</f>
        <v>290000000</v>
      </c>
      <c r="J120" s="112">
        <f>SUMIF($E$4:$E$113,"310",$J$4:$J$113)</f>
        <v>0</v>
      </c>
      <c r="K120" s="112">
        <f>SUMIF($E$4:$E$113,"310",$K$4:$K$113)</f>
        <v>209530623</v>
      </c>
      <c r="L120" s="111">
        <f>SUMIF($E$4:$E$113,"310",$L$4:$L$113)</f>
        <v>0</v>
      </c>
      <c r="M120" s="111">
        <f>SUMIF($E$4:$E$113,"310",$M$4:$M$113)</f>
        <v>0</v>
      </c>
      <c r="N120" s="111">
        <f>SUMIF($E$4:$E$113,"310",$N$4:$N$113)</f>
        <v>0</v>
      </c>
      <c r="O120" s="111">
        <f>SUMIF($E$4:$E$113,"310",$O$4:$O$113)</f>
        <v>0</v>
      </c>
      <c r="P120" s="111">
        <f>SUMIF($E$4:$E$113,"310",$P$4:$P$113)</f>
        <v>0</v>
      </c>
      <c r="Q120" s="111">
        <f>SUMIF($E$4:$E$113,"310",$Q$4:$Q$113)</f>
        <v>0</v>
      </c>
      <c r="R120" s="111">
        <f>SUMIF($E$4:$E$113,"310",$R$4:$R$113)</f>
        <v>0</v>
      </c>
      <c r="S120" s="111">
        <f>SUMIF($E$4:$E$113,"310",$S$4:$S$113)</f>
        <v>0</v>
      </c>
      <c r="T120" s="111">
        <f>SUMIF($E$4:$E$113,"310",$T$4:$T$113)</f>
        <v>0</v>
      </c>
      <c r="U120" s="111">
        <f>SUMIF($E$4:$E$113,"310",$U$4:$U$113)</f>
        <v>0</v>
      </c>
      <c r="V120" s="111">
        <f>SUMIF($E$4:$E$113,"310",$V$4:$V$113)</f>
        <v>200000000</v>
      </c>
      <c r="W120" s="111">
        <f>SUMIF($E$4:$E$106,"310",$W$4:$W$106)</f>
        <v>0</v>
      </c>
      <c r="X120" s="111"/>
      <c r="Y120" s="111">
        <f>SUMIF($E$4:$E$113,"310",$Y$4:$Y$113)</f>
        <v>0</v>
      </c>
      <c r="Z120" s="111">
        <f>SUMIF($E$4:$E$113,"310",$Z$4:$Z$113)</f>
        <v>0</v>
      </c>
      <c r="AA120" s="111">
        <f>SUMIF($E$4:$E$113,"310",$AA$4:$AA$113)</f>
        <v>87500000</v>
      </c>
      <c r="AB120" s="114">
        <f t="shared" si="114"/>
        <v>0.80118003235561519</v>
      </c>
      <c r="AC120" s="33">
        <f t="shared" si="115"/>
        <v>630553220</v>
      </c>
      <c r="AD120" s="112">
        <f>SUMIF($E$4:$E$113,"310",$AD$4:$AD$113)</f>
        <v>0</v>
      </c>
      <c r="AE120" s="112">
        <f>SUMIF($E$4:$E$113,"310",$AE$4:$AE$113)</f>
        <v>214124131</v>
      </c>
      <c r="AF120" s="112">
        <f>SUMIF($E$4:$E$113,"310",$AF$4:$AF$113)</f>
        <v>0</v>
      </c>
      <c r="AG120" s="112">
        <f>SUMIF($E$4:$E$113,"310",$AG$4:$AG$113)</f>
        <v>166793186</v>
      </c>
      <c r="AH120" s="112">
        <f>SUMIF($E$4:$E$113,"310",$AH$4:$AH$113)</f>
        <v>0</v>
      </c>
      <c r="AI120" s="112">
        <f>SUMIF($E$4:$E$113,"310",$AI$4:$AI$113)</f>
        <v>0</v>
      </c>
      <c r="AJ120" s="112">
        <f>SUMIF($E$4:$E$113,"310",$AJ$4:$AJ$113)</f>
        <v>0</v>
      </c>
      <c r="AK120" s="112">
        <f>SUMIF($E$4:$E$113,"310",$AK$4:$AK$113)</f>
        <v>0</v>
      </c>
      <c r="AL120" s="112">
        <f>SUMIF($E$4:$E$113,"310",$AL$4:$AL$113)</f>
        <v>0</v>
      </c>
      <c r="AM120" s="112">
        <f>SUMIF($E$4:$E$113,"310",$AM$4:$AM$113)</f>
        <v>0</v>
      </c>
      <c r="AN120" s="112">
        <f>SUMIF($E$4:$E$113,"310",$AN$4:$AN$113)</f>
        <v>0</v>
      </c>
      <c r="AO120" s="112">
        <f>SUMIF($E$4:$E$113,"310",$AO$4:$AO$113)</f>
        <v>0</v>
      </c>
      <c r="AP120" s="112">
        <f>SUMIF($E$4:$E$113,"310",$AP$4:$AP$113)</f>
        <v>0</v>
      </c>
      <c r="AQ120" s="112">
        <f>SUMIF($E$4:$E$113,"310",$AQ$4:$AQ$113)</f>
        <v>0</v>
      </c>
      <c r="AR120" s="112">
        <f>SUMIF($E$4:$E$113,"310",$AR$4:$AR$113)</f>
        <v>200000000</v>
      </c>
      <c r="AS120" s="112">
        <f>SUMIF($E$4:$E$113,"310",$AS$4:$AS$113)</f>
        <v>0</v>
      </c>
      <c r="AT120" s="112">
        <f>SUMIF($E$4:$E$113,"310",$AT$4:$AT$113)</f>
        <v>0</v>
      </c>
      <c r="AU120" s="112">
        <f>SUMIF($E$4:$E$113,"310",$AU$4:$AU$113)</f>
        <v>0</v>
      </c>
      <c r="AV120" s="112">
        <f>SUMIF($E$4:$E$113,"310",$AV$4:$AV$113)</f>
        <v>0</v>
      </c>
      <c r="AW120" s="112">
        <f>SUMIF($E$4:$E$113,"310",$AW$4:$AW$113)</f>
        <v>49635903</v>
      </c>
      <c r="AX120" s="97">
        <f t="shared" si="116"/>
        <v>0.19881996764438481</v>
      </c>
      <c r="AY120" s="25">
        <f t="shared" si="117"/>
        <v>156477403</v>
      </c>
      <c r="AZ120" s="115">
        <f>SUMIF($E$4:$E$113,"310",$AZ$4:$AZ$113)</f>
        <v>0</v>
      </c>
      <c r="BA120" s="115">
        <f>SUMIF($E$4:$E$113,"310",$BA$4:$BA$113)</f>
        <v>75875869</v>
      </c>
      <c r="BB120" s="115">
        <f>SUMIF($E$4:$E$113,"310",$BB$4:$BB$113)</f>
        <v>0</v>
      </c>
      <c r="BC120" s="115">
        <f>SUMIF($E$4:$E$113,"310",$BC$4:$BC$113)</f>
        <v>42737437</v>
      </c>
      <c r="BD120" s="115">
        <f>SUMIF($E$4:$E$113,"310",$BD$4:$BD$113)</f>
        <v>0</v>
      </c>
      <c r="BE120" s="115">
        <f>SUMIF($E$4:$E$113,"310",$BE$4:$BE$113)</f>
        <v>0</v>
      </c>
      <c r="BF120" s="115">
        <f>SUMIF($E$4:$E$113,"310",$BF$4:$BF$113)</f>
        <v>0</v>
      </c>
      <c r="BG120" s="115">
        <f>SUMIF($E$4:$E$113,"310",$BG$4:$BG$113)</f>
        <v>0</v>
      </c>
      <c r="BH120" s="115">
        <f>SUMIF($E$4:$E$113,"310",$BH$4:$BH$113)</f>
        <v>0</v>
      </c>
      <c r="BI120" s="115">
        <f>SUMIF($E$4:$E$113,"310",$BI$4:$BI$113)</f>
        <v>0</v>
      </c>
      <c r="BJ120" s="115">
        <f>SUMIF($E$4:$E$113,"310",$BJ$4:$BJ$113)</f>
        <v>0</v>
      </c>
      <c r="BK120" s="115">
        <f>SUMIF($E$4:$E$113,"310",$BK$4:$BK$113)</f>
        <v>0</v>
      </c>
      <c r="BL120" s="115">
        <f>SUMIF($E$4:$E$113,"310",$BL$4:$BL$113)</f>
        <v>0</v>
      </c>
      <c r="BM120" s="115">
        <f>SUMIF($E$4:$E$113,"310",$BM$4:$BM$113)</f>
        <v>0</v>
      </c>
      <c r="BN120" s="115">
        <f>SUMIF($E$4:$E$113,"310",$BN$4:$BN$113)</f>
        <v>0</v>
      </c>
      <c r="BO120" s="115">
        <f>SUMIF($E$4:$E$113,"310",$BO$4:$BO$113)</f>
        <v>0</v>
      </c>
      <c r="BP120" s="115">
        <f>SUMIF($E$4:$E$113,"310",$BP$4:$BP$113)</f>
        <v>0</v>
      </c>
      <c r="BQ120" s="115">
        <f>SUMIF($E$4:$E$113,"310",$BQ$4:$BQ$113)</f>
        <v>0</v>
      </c>
      <c r="BR120" s="115">
        <f>SUMIF($E$4:$E$113,"310",$BR$4:$BR$113)</f>
        <v>0</v>
      </c>
      <c r="BS120" s="116">
        <f>SUMIF($E$4:$E$113,"310",$BS$4:$BS$113)</f>
        <v>37864097</v>
      </c>
      <c r="BT120" s="117">
        <f t="shared" si="118"/>
        <v>0.56349079062454732</v>
      </c>
      <c r="BU120" s="33">
        <f t="shared" si="119"/>
        <v>443484508</v>
      </c>
      <c r="BV120" s="112">
        <f>SUMIF($E$4:$E$113,"310",$BV$4:$BV$113)</f>
        <v>0</v>
      </c>
      <c r="BW120" s="112">
        <f>SUMIF($E$4:$E$113,"310",$BW$4:$BW$113)</f>
        <v>128905954</v>
      </c>
      <c r="BX120" s="112">
        <f>SUMIF($E$4:$E$113,"310",$BX$4:$BX$113)</f>
        <v>0</v>
      </c>
      <c r="BY120" s="112">
        <f>SUMIF($E$4:$E$113,"310",$BY$4:$BY$113)</f>
        <v>143552694</v>
      </c>
      <c r="BZ120" s="112">
        <f>SUMIF($E$4:$E$113,"310",$BZ$4:$BZ$113)</f>
        <v>0</v>
      </c>
      <c r="CA120" s="112">
        <f>SUMIF($E$4:$E$113,"310",$CA$4:$CA$113)</f>
        <v>0</v>
      </c>
      <c r="CB120" s="112">
        <f>SUMIF($E$4:$E$113,"310",$CB$4:$CB$113)</f>
        <v>0</v>
      </c>
      <c r="CC120" s="112"/>
      <c r="CD120" s="112">
        <f>SUMIF($E$4:$E$113,"310",$CD$4:$CD$113)</f>
        <v>0</v>
      </c>
      <c r="CE120" s="112">
        <f>SUMIF($E$4:$E$113,"310",$CE$4:$CE$113)</f>
        <v>0</v>
      </c>
      <c r="CF120" s="112">
        <f>SUMIF($E$4:$E$113,"310",$CF$4:$CF$113)</f>
        <v>0</v>
      </c>
      <c r="CG120" s="112">
        <f>SUMIF($E$4:$E$113,"310",$CG$4:$CG$113)</f>
        <v>0</v>
      </c>
      <c r="CH120" s="112">
        <f>SUMIF($E$4:$E$113,"310",$CH$4:$CH$113)</f>
        <v>0</v>
      </c>
      <c r="CI120" s="112">
        <f>SUMIF($E$4:$E$113,"310",$CI$4:$CI$113)</f>
        <v>0</v>
      </c>
      <c r="CJ120" s="112">
        <f>SUMIF($E$4:$E$113,"310",$CJ$4:$CJ$113)</f>
        <v>145829564</v>
      </c>
      <c r="CK120" s="112">
        <f>SUMIF($E$4:$E$113,"310",$CK$4:$CK$113)</f>
        <v>0</v>
      </c>
      <c r="CL120" s="112">
        <f>SUMIF($E$4:$E$113,"310",$CL$4:$CL$113)</f>
        <v>0</v>
      </c>
      <c r="CM120" s="112">
        <f>SUMIF($E$4:$E$113,"310",$CM$4:$CM$113)</f>
        <v>0</v>
      </c>
      <c r="CN120" s="112">
        <f>SUMIF($E$4:$E$113,"310",$CN$4:$CN$113)</f>
        <v>0</v>
      </c>
      <c r="CO120" s="118">
        <f>SUMIF($E$4:$E$113,"310",$CO$4:$CO$113)</f>
        <v>25196296</v>
      </c>
      <c r="CP120" s="23">
        <f t="shared" si="121"/>
        <v>0.43650920937545268</v>
      </c>
      <c r="CQ120" s="25">
        <f t="shared" si="122"/>
        <v>343546115</v>
      </c>
      <c r="CR120" s="115">
        <f>SUMIF($E$4:$E$113,"310",$CR$4:$CR$113)</f>
        <v>0</v>
      </c>
      <c r="CS120" s="115">
        <f>SUMIF($E$4:$E$113,"310",$CS$4:$CS$113)</f>
        <v>161094046</v>
      </c>
      <c r="CT120" s="115">
        <f>SUMIF($E$4:$E$113,"310",$CT$4:$CT$113)</f>
        <v>0</v>
      </c>
      <c r="CU120" s="115">
        <f>SUMIF($E$4:$E$113,"310",$CU$4:$CU$113)</f>
        <v>65977929</v>
      </c>
      <c r="CV120" s="115">
        <f>SUMIF($E$4:$E$113,"310",$CV$4:$CV$113)</f>
        <v>0</v>
      </c>
      <c r="CW120" s="115">
        <f>SUMIF($E$4:$E$113,"310",$CW$4:$CW$113)</f>
        <v>0</v>
      </c>
      <c r="CX120" s="115">
        <f>SUMIF($E$4:$E$113,"310",$CX$4:$CX$113)</f>
        <v>0</v>
      </c>
      <c r="CY120" s="115">
        <f>SUMIF($E$4:$E$113,"310",$CY$4:$CY$113)</f>
        <v>0</v>
      </c>
      <c r="CZ120" s="119">
        <f>SUMIF($E$4:$E$113,"310",$CZ$4:$CZ$113)</f>
        <v>0</v>
      </c>
      <c r="DA120" s="119">
        <f>SUMIF($E$4:$E$113,"310",$DA$4:$DA$113)</f>
        <v>0</v>
      </c>
      <c r="DB120" s="119">
        <f>SUMIF($E$4:$E$113,"310",$DB$4:$DB$113)</f>
        <v>0</v>
      </c>
      <c r="DC120" s="119">
        <f>SUMIF($E$4:$E$113,"310",$DC$4:$DC$113)</f>
        <v>0</v>
      </c>
      <c r="DD120" s="119">
        <f>SUMIF($E$4:$E$113,"310",$DD$4:$DD$113)</f>
        <v>0</v>
      </c>
      <c r="DE120" s="119">
        <f>SUMIF($E$4:$E$113,"310",$DE$4:$DE$113)</f>
        <v>0</v>
      </c>
      <c r="DF120" s="119">
        <f>SUMIF($E$4:$E$113,"310",$DF$4:$DF$113)</f>
        <v>54170436</v>
      </c>
      <c r="DG120" s="119">
        <f>SUMIF($E$4:$E$113,"310",$DG$4:$DG$113)</f>
        <v>0</v>
      </c>
      <c r="DH120" s="119">
        <f>SUMIF($E$4:$E$113,"310",$DH$4:$DH$113)</f>
        <v>0</v>
      </c>
      <c r="DI120" s="119">
        <f>SUMIF($E$4:$E$113,"310",$DI$4:$DI$113)</f>
        <v>0</v>
      </c>
      <c r="DJ120" s="119">
        <f>SUMIF($E$4:$E$113,"310",$DJ$4:$DJ$113)</f>
        <v>0</v>
      </c>
      <c r="DK120" s="119">
        <f>SUMIF($E$4:$E$113,"310",$DK$4:$DK$113)</f>
        <v>62303704</v>
      </c>
      <c r="DM120" s="26">
        <f t="shared" si="123"/>
        <v>787030623</v>
      </c>
      <c r="DN120" s="26">
        <f t="shared" si="124"/>
        <v>787030623</v>
      </c>
      <c r="DO120" s="26">
        <f t="shared" si="125"/>
        <v>787030623</v>
      </c>
    </row>
    <row r="121" spans="1:120" x14ac:dyDescent="0.25">
      <c r="C121" s="121"/>
      <c r="D121" s="110" t="s">
        <v>359</v>
      </c>
      <c r="E121" s="103">
        <v>410</v>
      </c>
      <c r="F121" s="111"/>
      <c r="G121" s="112">
        <f>SUMIF($E$4:$E$113,"410",$G$4:$G$113)</f>
        <v>7127077871</v>
      </c>
      <c r="H121" s="113">
        <f>SUMIF($E$4:$E$113,"410",$H$4:$H$113)</f>
        <v>0</v>
      </c>
      <c r="I121" s="113">
        <f>SUMIF($E$4:$E$114,"410",$I$4:$I$114)</f>
        <v>500000000</v>
      </c>
      <c r="J121" s="112">
        <f>SUMIF($E$4:$E$113,"410",$J$4:$J$113)</f>
        <v>2550000000</v>
      </c>
      <c r="K121" s="112">
        <f>SUMIF($E$4:$E$113,"410",$K$4:$K$113)</f>
        <v>234297558</v>
      </c>
      <c r="L121" s="111">
        <f>SUMIF($E$4:$E$113,"410",$L$4:$L$113)</f>
        <v>0</v>
      </c>
      <c r="M121" s="111">
        <f>SUMIF($E$4:$E$113,"410",$M$4:$M$113)</f>
        <v>0</v>
      </c>
      <c r="N121" s="111">
        <f>SUMIF($E$4:$E$113,"410",$N$4:$N$113)</f>
        <v>0</v>
      </c>
      <c r="O121" s="111">
        <f>SUMIF($E$4:$E$113,"410",$O$4:$O$113)</f>
        <v>0</v>
      </c>
      <c r="P121" s="111">
        <f>SUMIF($E$4:$E$113,"410",$P$4:$P$113)</f>
        <v>0</v>
      </c>
      <c r="Q121" s="111">
        <f>SUMIF($E$4:$E$113,"410",$Q$4:$Q$113)</f>
        <v>0</v>
      </c>
      <c r="R121" s="111">
        <f>SUMIF($E$4:$E$113,"410",$R$4:$R$113)</f>
        <v>0</v>
      </c>
      <c r="S121" s="111">
        <f>SUMIF($E$4:$E$113,"410",$S$4:$S$113)</f>
        <v>3157557814</v>
      </c>
      <c r="T121" s="111">
        <f>SUMIF($E$4:$E$113,"410",$T$4:$T$113)</f>
        <v>0</v>
      </c>
      <c r="U121" s="111">
        <f>SUMIF($E$4:$E$113,"410",$U$4:$U$113)</f>
        <v>0</v>
      </c>
      <c r="V121" s="111">
        <f>SUMIF($E$4:$E$106,"410",$V$4:$V$106)</f>
        <v>427275758</v>
      </c>
      <c r="W121" s="111">
        <f>SUMIF($E$4:$E$106,"410",$W$4:$W$106)</f>
        <v>0</v>
      </c>
      <c r="X121" s="111">
        <f>SUMIF($E$4:$E$113,"410",$X$4:$X$113)</f>
        <v>119946741</v>
      </c>
      <c r="Y121" s="111">
        <f>SUMIF($E$4:$E$113,"410",$Y$4:$Y$113)</f>
        <v>0</v>
      </c>
      <c r="Z121" s="111">
        <f>SUMIF($E$4:$E$113,"410",$Z$4:$Z$113)</f>
        <v>0</v>
      </c>
      <c r="AA121" s="111">
        <f>SUMIF($E$4:$E$113,"410",$AA$4:$AA$113)</f>
        <v>138000000</v>
      </c>
      <c r="AB121" s="114">
        <f t="shared" si="114"/>
        <v>0.78588342899838648</v>
      </c>
      <c r="AC121" s="25">
        <f t="shared" si="115"/>
        <v>5601052396</v>
      </c>
      <c r="AD121" s="112">
        <f>SUMIF($E$4:$E$113,"410",$AD$4:$AD$113)</f>
        <v>0</v>
      </c>
      <c r="AE121" s="112">
        <f>SUMIF($E$4:$E$113,"410",$AE$4:$AE$113)</f>
        <v>471762012</v>
      </c>
      <c r="AF121" s="112">
        <f>SUMIF($E$4:$E$113,"410",$AF$4:$AF$113)</f>
        <v>2209904030</v>
      </c>
      <c r="AG121" s="112">
        <f>SUMIF($E$4:$E$113,"410",$AG$4:$AG$113)</f>
        <v>209836688</v>
      </c>
      <c r="AH121" s="112">
        <f>SUMIF($E$4:$E$113,"410",$AH$4:$AH$113)</f>
        <v>0</v>
      </c>
      <c r="AI121" s="112">
        <f>SUMIF($E$4:$E$113,"410",$AI$4:$AI$113)</f>
        <v>0</v>
      </c>
      <c r="AJ121" s="112">
        <f>SUMIF($E$4:$E$113,"410",$AJ$4:$AJ$113)</f>
        <v>0</v>
      </c>
      <c r="AK121" s="112">
        <f>SUMIF($E$4:$E$113,"410",$AK$4:$AK$113)</f>
        <v>0</v>
      </c>
      <c r="AL121" s="112">
        <f>SUMIF($E$4:$E$113,"410",$AL$4:$AL$113)</f>
        <v>0</v>
      </c>
      <c r="AM121" s="112">
        <f>SUMIF($E$4:$E$113,"410",$AM$4:$AM$113)</f>
        <v>0</v>
      </c>
      <c r="AN121" s="112">
        <f>SUMIF($E$4:$E$113,"410",$AN$4:$AN$113)</f>
        <v>0</v>
      </c>
      <c r="AO121" s="112">
        <f>SUMIF($E$4:$E$113,"410",$AO$4:$AO$113)</f>
        <v>2170553330</v>
      </c>
      <c r="AP121" s="112">
        <f>SUMIF($E$4:$E$113,"410",$AP$4:$AP$113)</f>
        <v>0</v>
      </c>
      <c r="AQ121" s="112">
        <f>SUMIF($E$4:$E$113,"410",$AQ$4:$AQ$113)</f>
        <v>0</v>
      </c>
      <c r="AR121" s="112">
        <f>SUMIF($E$4:$E$113,"410",$AR$4:$AR$113)</f>
        <v>329664409</v>
      </c>
      <c r="AS121" s="112">
        <f>SUMIF($E$4:$E$113,"410",$AS$4:$AS$113)</f>
        <v>0</v>
      </c>
      <c r="AT121" s="112">
        <f>SUMIF($E$4:$E$113,"410",$AT$4:$AT$113)</f>
        <v>119946741</v>
      </c>
      <c r="AU121" s="112">
        <f>SUMIF($E$4:$E$113,"410",$AU$4:$AU$113)</f>
        <v>0</v>
      </c>
      <c r="AV121" s="112">
        <f>SUMIF($E$4:$E$113,"410",$AV$4:$AV$113)</f>
        <v>0</v>
      </c>
      <c r="AW121" s="112">
        <f>SUMIF($E$4:$E$113,"410",$AW$4:$AW$113)</f>
        <v>89385186</v>
      </c>
      <c r="AX121" s="97">
        <f t="shared" si="116"/>
        <v>0.21411657100161352</v>
      </c>
      <c r="AY121" s="25">
        <f t="shared" si="117"/>
        <v>1526025475</v>
      </c>
      <c r="AZ121" s="115">
        <f>SUMIF($E$4:$E$113,"410",$AZ$4:$AZ$113)</f>
        <v>0</v>
      </c>
      <c r="BA121" s="115">
        <f>SUMIF($E$4:$E$113,"410",$BA$4:$BA$113)</f>
        <v>28237988</v>
      </c>
      <c r="BB121" s="115">
        <f>SUMIF($E$4:$E$113,"410",$BB$4:$BB$113)</f>
        <v>340095970</v>
      </c>
      <c r="BC121" s="115">
        <f>SUMIF($E$4:$E$113,"410",$BC$4:$BC$113)</f>
        <v>24460870</v>
      </c>
      <c r="BD121" s="115">
        <f>SUMIF($E$4:$E$113,"410",$BD$4:$BD$113)</f>
        <v>0</v>
      </c>
      <c r="BE121" s="115">
        <f>SUMIF($E$4:$E$113,"410",$BE$4:$BE$113)</f>
        <v>0</v>
      </c>
      <c r="BF121" s="115">
        <f>SUMIF($E$4:$E$113,"410",$BF$4:$BF$113)</f>
        <v>0</v>
      </c>
      <c r="BG121" s="115">
        <f>SUMIF($E$4:$E$113,"410",$BG$4:$BG$113)</f>
        <v>0</v>
      </c>
      <c r="BH121" s="115">
        <f>SUMIF($E$4:$E$113,"410",$BH$4:$BH$113)</f>
        <v>0</v>
      </c>
      <c r="BI121" s="115">
        <f>SUMIF($E$4:$E$113,"410",$BI$4:$BI$113)</f>
        <v>0</v>
      </c>
      <c r="BJ121" s="115">
        <f>SUMIF($E$4:$E$113,"410",$BJ$4:$BJ$113)</f>
        <v>0</v>
      </c>
      <c r="BK121" s="115">
        <f>SUMIF($E$4:$E$113,"410",$BK$4:$BK$113)</f>
        <v>987004484</v>
      </c>
      <c r="BL121" s="115">
        <f>SUMIF($E$4:$E$113,"410",$BL$4:$BL$113)</f>
        <v>0</v>
      </c>
      <c r="BM121" s="115">
        <f>SUMIF($E$4:$E$113,"410",$BM$4:$BM$113)</f>
        <v>0</v>
      </c>
      <c r="BN121" s="115">
        <f>SUMIF($E$4:$E$113,"410",$BN$4:$BN$113)</f>
        <v>97611349</v>
      </c>
      <c r="BO121" s="115">
        <f>SUMIF($E$4:$E$113,"510",$BO$4:$BO$113)</f>
        <v>0</v>
      </c>
      <c r="BP121" s="115">
        <f>SUMIF($E$4:$E$113,"410",$BP$4:$BP$113)</f>
        <v>0</v>
      </c>
      <c r="BQ121" s="115">
        <f>SUMIF($E$4:$E$113,"410",$BQ$4:$BQ$113)</f>
        <v>0</v>
      </c>
      <c r="BR121" s="115">
        <f>SUMIF($E$4:$E$113,"410",$BR$4:$BR$113)</f>
        <v>0</v>
      </c>
      <c r="BS121" s="116">
        <f>SUMIF($E$4:$E$113,"410",$BS$4:$BS$113)</f>
        <v>48614814</v>
      </c>
      <c r="BT121" s="117">
        <f t="shared" si="118"/>
        <v>0.63066378863197914</v>
      </c>
      <c r="BU121" s="25">
        <f t="shared" si="119"/>
        <v>4494789932</v>
      </c>
      <c r="BV121" s="112">
        <f>SUMIF($E$4:$E$113,"410",$BV$4:$BV$113)</f>
        <v>0</v>
      </c>
      <c r="BW121" s="112">
        <f>SUMIF($E$4:$E$113,"410",$BW$4:$BW$113)</f>
        <v>439799797</v>
      </c>
      <c r="BX121" s="112">
        <f>SUMIF($E$4:$E$113,"410",$BX$4:$BX$113)</f>
        <v>1672311308</v>
      </c>
      <c r="BY121" s="112">
        <f>SUMIF($E$4:$E$113,"410",$BY$4:$BY$113)</f>
        <v>209836688</v>
      </c>
      <c r="BZ121" s="112">
        <f>SUMIF($E$4:$E$113,"410",$BZ$4:$BZ$113)</f>
        <v>0</v>
      </c>
      <c r="CA121" s="112">
        <f>SUMIF($E$4:$E$113,"410",$CA$4:$CA$113)</f>
        <v>0</v>
      </c>
      <c r="CB121" s="112">
        <f>SUMIF($E$4:$E$113,"410",$CB$4:$CB$113)</f>
        <v>0</v>
      </c>
      <c r="CC121" s="112"/>
      <c r="CD121" s="112">
        <f>SUMIF($E$4:$E$113,"410",$CD$4:$CD$113)</f>
        <v>0</v>
      </c>
      <c r="CE121" s="112">
        <f>SUMIF($E$4:$E$113,"410",$CE$4:$CE$113)</f>
        <v>0</v>
      </c>
      <c r="CF121" s="112">
        <f>SUMIF($E$4:$E$113,"410",$CF$4:$CF$113)</f>
        <v>0</v>
      </c>
      <c r="CG121" s="112">
        <f>SUMIF($E$4:$E$113,"410",$CG$4:$CG$113)</f>
        <v>1903657930</v>
      </c>
      <c r="CH121" s="112">
        <f>SUMIF($E$4:$E$113,"410",$CH$4:$CH$113)</f>
        <v>0</v>
      </c>
      <c r="CI121" s="112">
        <f>SUMIF($E$4:$E$113,"410",$CI$4:$CI$113)</f>
        <v>0</v>
      </c>
      <c r="CJ121" s="112">
        <f>SUMIF($E$4:$E$113,"410",$CJ$4:$CJ$113)</f>
        <v>140434345</v>
      </c>
      <c r="CK121" s="112">
        <f>SUMIF($E$4:$E$113,"410",$CK$4:$CK$113)</f>
        <v>0</v>
      </c>
      <c r="CL121" s="112">
        <f>SUMIF($E$4:$E$113,"410",$CL$4:$CL$113)</f>
        <v>44864678</v>
      </c>
      <c r="CM121" s="112">
        <f>SUMIF($E$4:$E$113,"410",$CM$4:$CM$113)</f>
        <v>0</v>
      </c>
      <c r="CN121" s="112">
        <f>SUMIF($E$4:$E$113,"410",$CN$4:$CN$113)</f>
        <v>0</v>
      </c>
      <c r="CO121" s="118">
        <f>SUMIF($E$4:$E$113,"410",$CO$4:$CO$113)</f>
        <v>83885186</v>
      </c>
      <c r="CP121" s="23">
        <f t="shared" si="121"/>
        <v>0.36933621136802086</v>
      </c>
      <c r="CQ121" s="25">
        <f t="shared" si="122"/>
        <v>2632287939</v>
      </c>
      <c r="CR121" s="115">
        <f>SUMIF($E$4:$E$113,"410",$CR$4:$CR$113)</f>
        <v>0</v>
      </c>
      <c r="CS121" s="115">
        <f>SUMIF($E$4:$E$113,"410",$CS$4:$CS$113)</f>
        <v>60200203</v>
      </c>
      <c r="CT121" s="115">
        <f>SUMIF($E$4:$E$113,"410",$CT$4:$CT$113)</f>
        <v>877688692</v>
      </c>
      <c r="CU121" s="115">
        <f>SUMIF($E$4:$E$113,"410",$CU$4:$CU$113)</f>
        <v>24460870</v>
      </c>
      <c r="CV121" s="115">
        <f>SUMIF($E$4:$E$113,"410",$CV$4:$CV$113)</f>
        <v>0</v>
      </c>
      <c r="CW121" s="115">
        <f>SUMIF($E$4:$E$113,"410",$CW$4:$CW$113)</f>
        <v>0</v>
      </c>
      <c r="CX121" s="115">
        <f>SUMIF($E$4:$E$113,"410",$CX$4:$CX$113)</f>
        <v>0</v>
      </c>
      <c r="CY121" s="115">
        <f>SUMIF($E$4:$E$113,"410",$CY$4:$CY$113)</f>
        <v>0</v>
      </c>
      <c r="CZ121" s="119">
        <f>SUMIF($E$4:$E$113,"410",$CZ$4:$CZ$113)</f>
        <v>0</v>
      </c>
      <c r="DA121" s="119">
        <f>SUMIF($E$4:$E$113,"410",$DA$4:$DA$113)</f>
        <v>0</v>
      </c>
      <c r="DB121" s="119">
        <f>SUMIF($E$4:$E$113,"410",$DB$4:$DB$113)</f>
        <v>0</v>
      </c>
      <c r="DC121" s="119">
        <f>SUMIF($E$4:$E$113,"410",$DC$4:$DC$113)</f>
        <v>1253899884</v>
      </c>
      <c r="DD121" s="119">
        <f>SUMIF($E$4:$E$113,"410",$DD$4:$DD$113)</f>
        <v>0</v>
      </c>
      <c r="DE121" s="119">
        <f>SUMIF($E$4:$E$113,"410",$DE$4:$DE$113)</f>
        <v>0</v>
      </c>
      <c r="DF121" s="119">
        <f>SUMIF($E$4:$E$113,"410",$DF$4:$DF$113)</f>
        <v>286841413</v>
      </c>
      <c r="DG121" s="119">
        <f>SUMIF($E$4:$E$113,"410",$DG$4:$DG$113)</f>
        <v>0</v>
      </c>
      <c r="DH121" s="119">
        <f>SUMIF($E$4:$E$113,"410",$DH$4:$DH$113)</f>
        <v>75082063</v>
      </c>
      <c r="DI121" s="119">
        <f>SUMIF($E$4:$E$113,"410",$DI$4:$DI$113)</f>
        <v>0</v>
      </c>
      <c r="DJ121" s="119">
        <f>SUMIF($E$4:$E$113,"410",$DJ$4:$DJ$113)</f>
        <v>0</v>
      </c>
      <c r="DK121" s="119">
        <f>SUMIF($E$4:$E$113,"410",$DK$4:$DK$113)</f>
        <v>54114814</v>
      </c>
      <c r="DM121" s="26">
        <f t="shared" si="123"/>
        <v>7127077871</v>
      </c>
      <c r="DN121" s="26">
        <f t="shared" si="124"/>
        <v>7127077871</v>
      </c>
      <c r="DO121" s="26">
        <f t="shared" si="125"/>
        <v>7127077871</v>
      </c>
    </row>
    <row r="122" spans="1:120" ht="14.25" customHeight="1" x14ac:dyDescent="0.25">
      <c r="C122" s="121"/>
      <c r="D122" s="122" t="s">
        <v>360</v>
      </c>
      <c r="E122" s="103">
        <v>510</v>
      </c>
      <c r="F122" s="111"/>
      <c r="G122" s="112">
        <f>SUMIF($E$4:$E$113,"510",$G$4:$G$113)</f>
        <v>1580182191</v>
      </c>
      <c r="H122" s="113">
        <f>SUMIF($E$4:$E$113,"510",$H$4:$H$113)</f>
        <v>0</v>
      </c>
      <c r="I122" s="113">
        <f>SUMIF($E$4:$E$114,"510",$I$4:$I$114)</f>
        <v>760954283</v>
      </c>
      <c r="J122" s="112">
        <f>SUMIF($E$4:$E$113,"510",$J$4:$J$113)</f>
        <v>250000000</v>
      </c>
      <c r="K122" s="112">
        <f>SUMIF($E$4:$E$113,"510",$K$4:$K$113)</f>
        <v>48738920</v>
      </c>
      <c r="L122" s="111">
        <f>SUMIF($E$4:$E$113,"510",$L$4:$L$113)</f>
        <v>0</v>
      </c>
      <c r="M122" s="111">
        <f>SUMIF($E$4:$E$113,"510",$M$4:$M$113)</f>
        <v>0</v>
      </c>
      <c r="N122" s="111">
        <f>SUMIF($E$4:$E$113,"510",$N$4:$N$113)</f>
        <v>0</v>
      </c>
      <c r="O122" s="111">
        <f>SUMIF($E$4:$E$113,"510",$O$4:$O$113)</f>
        <v>0</v>
      </c>
      <c r="P122" s="111">
        <f>SUMIF($E$4:$E$113,"510",$P$4:$P$113)</f>
        <v>0</v>
      </c>
      <c r="Q122" s="111">
        <f>SUMIF($E$4:$E$113,"510",$Q$4:$Q$113)</f>
        <v>0</v>
      </c>
      <c r="R122" s="111">
        <f>SUMIF($E$4:$E$113,"510",$R$4:$R$113)</f>
        <v>0</v>
      </c>
      <c r="S122" s="111">
        <f>SUMIF($E$4:$E$113,"510",$S$4:$S$113)</f>
        <v>0</v>
      </c>
      <c r="T122" s="111">
        <f>SUMIF($E$4:$E$113,"510",$T$4:$T$113)</f>
        <v>0</v>
      </c>
      <c r="U122" s="111">
        <f>SUMIF($E$4:$E$113,"510",$U$4:$U$113)</f>
        <v>278034610</v>
      </c>
      <c r="V122" s="111">
        <f>SUMIF($E$4:$E$113,"510",$V$4:$V$113)</f>
        <v>61000000</v>
      </c>
      <c r="W122" s="111">
        <f>SUMIF($E$4:$E$106,"510",$W$4:$W$106)</f>
        <v>0</v>
      </c>
      <c r="X122" s="111"/>
      <c r="Y122" s="111">
        <f>SUMIF($E$4:$E$113,"510",$Y$4:$Y$113)</f>
        <v>0</v>
      </c>
      <c r="Z122" s="111">
        <f>SUMIF($E$4:$E$113,"510",$Z$4:$Z$113)</f>
        <v>0</v>
      </c>
      <c r="AA122" s="111">
        <f>SUMIF($E$4:$E$113,"510",$AA$4:$AA$113)</f>
        <v>181454378</v>
      </c>
      <c r="AB122" s="114">
        <f t="shared" si="114"/>
        <v>0.90417819295623236</v>
      </c>
      <c r="AC122" s="25">
        <f t="shared" si="115"/>
        <v>1428766278</v>
      </c>
      <c r="AD122" s="112">
        <f>SUMIF($E$4:$E$113,"510",$AD$4:$AD$113)</f>
        <v>0</v>
      </c>
      <c r="AE122" s="112">
        <f>SUMIF($E$4:$E$113,"510",$AE$4:$AE$113)</f>
        <v>736247498</v>
      </c>
      <c r="AF122" s="112">
        <f>SUMIF($E$4:$E$113,"510",$AF$4:$AF$113)</f>
        <v>192366571</v>
      </c>
      <c r="AG122" s="112">
        <f>SUMIF($E$4:$E$113,"510",$AG$4:$AG$113)</f>
        <v>48738920</v>
      </c>
      <c r="AH122" s="112">
        <f>SUMIF($E$4:$E$113,"510",$AH$4:$AH$113)</f>
        <v>0</v>
      </c>
      <c r="AI122" s="112">
        <f>SUMIF($E$4:$E$113,"510",$AI$4:$AI$113)</f>
        <v>0</v>
      </c>
      <c r="AJ122" s="112">
        <f>SUMIF($E$4:$E$113,"510",$AJ$4:$AJ$113)</f>
        <v>0</v>
      </c>
      <c r="AK122" s="112">
        <f>SUMIF($E$4:$E$113,"510",$AK$4:$AK$113)</f>
        <v>0</v>
      </c>
      <c r="AL122" s="112">
        <f>SUMIF($E$4:$E$113,"510",$AL$4:$AL$113)</f>
        <v>0</v>
      </c>
      <c r="AM122" s="112">
        <f>SUMIF($E$4:$E$113,"510",$AM$4:$AM$113)</f>
        <v>0</v>
      </c>
      <c r="AN122" s="112">
        <f>SUMIF($E$4:$E$113,"510",$AN$4:$AN$113)</f>
        <v>0</v>
      </c>
      <c r="AO122" s="112">
        <f>SUMIF($E$4:$E$113,"510",$AO$4:$AO$113)</f>
        <v>0</v>
      </c>
      <c r="AP122" s="112">
        <f>SUMIF($E$4:$E$113,"510",$AP$4:$AP$113)</f>
        <v>0</v>
      </c>
      <c r="AQ122" s="112">
        <f>SUMIF($E$4:$E$113,"510",$AQ$4:$AQ$113)</f>
        <v>278034610</v>
      </c>
      <c r="AR122" s="112">
        <f>SUMIF($E$4:$E$113,"510",$AR$4:$AR$113)</f>
        <v>50000000</v>
      </c>
      <c r="AS122" s="112">
        <f>SUMIF($E$4:$E$113,"510",$AS$4:$AS$113)</f>
        <v>0</v>
      </c>
      <c r="AT122" s="112">
        <f>SUMIF($E$4:$E$113,"510",$AT$4:$AT$113)</f>
        <v>0</v>
      </c>
      <c r="AU122" s="112">
        <f>SUMIF($E$4:$E$113,"510",$AU$4:$AU$113)</f>
        <v>0</v>
      </c>
      <c r="AV122" s="112">
        <f>SUMIF($E$4:$E$113," 510",$AV$4:$AV$113)</f>
        <v>0</v>
      </c>
      <c r="AW122" s="112">
        <f>SUMIF($E$4:$E$113,"510",$AW$4:$AW$113)</f>
        <v>123378679</v>
      </c>
      <c r="AX122" s="97">
        <f t="shared" si="116"/>
        <v>9.5821807043767637E-2</v>
      </c>
      <c r="AY122" s="25">
        <f t="shared" si="117"/>
        <v>151415913</v>
      </c>
      <c r="AZ122" s="115">
        <f>SUMIF($E$4:$E$113,"510",$AZ$4:$AZ$113)</f>
        <v>0</v>
      </c>
      <c r="BA122" s="115">
        <f>SUMIF($E$4:$E$113,"510",$BA$4:$BA$113)</f>
        <v>24706785</v>
      </c>
      <c r="BB122" s="115">
        <f>SUMIF($E$4:$E$113,"510",$BB$4:$BB$113)</f>
        <v>57633429</v>
      </c>
      <c r="BC122" s="115">
        <f>SUMIF($E$4:$E$113,"510",$BC$4:$BC$113)</f>
        <v>0</v>
      </c>
      <c r="BD122" s="115">
        <f>SUMIF($E$4:$E$113,"510",$BD$4:$BD$113)</f>
        <v>0</v>
      </c>
      <c r="BE122" s="115">
        <f>SUMIF($E$4:$E$113,"510",$BE$4:$BE$113)</f>
        <v>0</v>
      </c>
      <c r="BF122" s="115">
        <f>SUMIF($E$4:$E$113,"510",$BF$4:$BF$113)</f>
        <v>0</v>
      </c>
      <c r="BG122" s="115">
        <f>SUMIF($E$4:$E$113,"510",$BG$4:$BG$113)</f>
        <v>0</v>
      </c>
      <c r="BH122" s="115">
        <f>SUMIF($E$4:$E$113,"510",$BH$4:$BH$113)</f>
        <v>0</v>
      </c>
      <c r="BI122" s="115">
        <f>SUMIF($E$4:$E$113,"510",$BI$4:$BI$113)</f>
        <v>0</v>
      </c>
      <c r="BJ122" s="115">
        <f>SUMIF($E$4:$E$113,"510",$BJ$4:$BJ$113)</f>
        <v>0</v>
      </c>
      <c r="BK122" s="115">
        <f>SUMIF($E$4:$E$113,"510",$BK$4:$BK$113)</f>
        <v>0</v>
      </c>
      <c r="BL122" s="115">
        <f>SUMIF($E$4:$E$113,"510",$BL$4:$BL$113)</f>
        <v>0</v>
      </c>
      <c r="BM122" s="115">
        <f>SUMIF($E$4:$E$113,"510",$BM$4:$BM$113)</f>
        <v>0</v>
      </c>
      <c r="BN122" s="115">
        <f>SUMIF($E$4:$E$113,"510",$BN$4:$BN$113)</f>
        <v>11000000</v>
      </c>
      <c r="BO122" s="115">
        <f>SUMIF($E$4:$E$113,"520",$BO$4:$BO$113)</f>
        <v>0</v>
      </c>
      <c r="BP122" s="115">
        <f>SUMIF($E$4:$E$113,"510",$BP$4:$BP$113)</f>
        <v>0</v>
      </c>
      <c r="BQ122" s="115">
        <f>SUMIF($E$4:$E$113,"510",$BQ$4:$BQ$113)</f>
        <v>0</v>
      </c>
      <c r="BR122" s="115">
        <f>SUMIF($E$4:$E$113,"510",$BR$4:$BR$113)</f>
        <v>0</v>
      </c>
      <c r="BS122" s="116">
        <f>SUMIF($E$4:$E$113,"510",$BS$4:$BS$113)</f>
        <v>58075699</v>
      </c>
      <c r="BT122" s="117">
        <f t="shared" si="118"/>
        <v>0.68563438834503354</v>
      </c>
      <c r="BU122" s="25">
        <f t="shared" si="119"/>
        <v>1083427250</v>
      </c>
      <c r="BV122" s="112">
        <f>SUMIF($E$4:$E$113,"510",$BV$4:$BV$113)</f>
        <v>0</v>
      </c>
      <c r="BW122" s="112">
        <f>SUMIF($E$4:$E$113,"510",$BW$4:$BW$113)</f>
        <v>624188445</v>
      </c>
      <c r="BX122" s="112">
        <f>SUMIF($E$4:$E$113,"510",$BX$4:$BX$113)</f>
        <v>102837040</v>
      </c>
      <c r="BY122" s="112">
        <f>SUMIF($E$4:$E$113,"510",$BY$4:$BY$113)</f>
        <v>42487847</v>
      </c>
      <c r="BZ122" s="112">
        <f>SUMIF($E$4:$E$113,"510",$BZ$4:$BZ$113)</f>
        <v>0</v>
      </c>
      <c r="CA122" s="112">
        <f>SUMIF($E$4:$E$113,"510",$CA$4:$CA$113)</f>
        <v>0</v>
      </c>
      <c r="CB122" s="112">
        <f>SUMIF($E$4:$E$113,"510",$CB$4:$CB$113)</f>
        <v>0</v>
      </c>
      <c r="CC122" s="112"/>
      <c r="CD122" s="112">
        <f>SUMIF($E$4:$E$113,"510",$CD$4:$CD$113)</f>
        <v>0</v>
      </c>
      <c r="CE122" s="112">
        <f>SUMIF($E$4:$E$113,"510",$CE$4:$CE$113)</f>
        <v>0</v>
      </c>
      <c r="CF122" s="112">
        <f>SUMIF($E$4:$E$113,"510",$CF$4:$CF$113)</f>
        <v>0</v>
      </c>
      <c r="CG122" s="112">
        <f>SUMIF($E$4:$E$113,"510",$CG$4:$CG$113)</f>
        <v>0</v>
      </c>
      <c r="CH122" s="112">
        <f>SUMIF($E$4:$E$113,"510",$CH$4:$CH$113)</f>
        <v>0</v>
      </c>
      <c r="CI122" s="112">
        <f>SUMIF($E$4:$E$113,"510",$CI$4:$CI$113)</f>
        <v>183990671</v>
      </c>
      <c r="CJ122" s="112">
        <f>SUMIF($E$4:$E$113,"510",$CJ$4:$CJ$113)</f>
        <v>50000000</v>
      </c>
      <c r="CK122" s="112">
        <f>SUMIF($E$4:$E$113,"510",$CK$4:$CK$113)</f>
        <v>0</v>
      </c>
      <c r="CL122" s="112">
        <f>SUMIF($E$4:$E$113,"111",$CL$4:$CL$113)</f>
        <v>0</v>
      </c>
      <c r="CM122" s="112">
        <f>SUMIF($E$4:$E$113,"510",$CM$4:$CM$113)</f>
        <v>0</v>
      </c>
      <c r="CN122" s="112">
        <f>SUMIF($E$4:$E$113,"510",$CN$4:$CN$113)</f>
        <v>0</v>
      </c>
      <c r="CO122" s="118">
        <f>SUMIF($E$4:$E$113,"510",$CO$4:$CO$113)</f>
        <v>79923247</v>
      </c>
      <c r="CP122" s="23">
        <f t="shared" si="121"/>
        <v>0.31436561165496646</v>
      </c>
      <c r="CQ122" s="25">
        <f t="shared" si="122"/>
        <v>496754941</v>
      </c>
      <c r="CR122" s="115">
        <f>SUMIF($E$4:$E$113,"510",$CR$4:$CR$113)</f>
        <v>0</v>
      </c>
      <c r="CS122" s="115">
        <f>SUMIF($E$4:$E$113,"510",$CS$4:$CS$113)</f>
        <v>136765838</v>
      </c>
      <c r="CT122" s="115">
        <f>SUMIF($E$4:$E$113,"510",$CT$4:$CT$113)</f>
        <v>147162960</v>
      </c>
      <c r="CU122" s="115">
        <f>SUMIF($E$4:$E$113,"510",$CU$4:$CU$113)</f>
        <v>6251073</v>
      </c>
      <c r="CV122" s="115">
        <f>SUMIF($E$4:$E$113,"510",$CV$4:$CV$113)</f>
        <v>0</v>
      </c>
      <c r="CW122" s="115">
        <f>SUMIF($E$4:$E$113,"510",$CW$4:$CW$113)</f>
        <v>0</v>
      </c>
      <c r="CX122" s="115">
        <f>SUMIF($E$4:$E$113,"510",$CX$4:$CX$113)</f>
        <v>0</v>
      </c>
      <c r="CY122" s="115">
        <f>SUMIF($E$4:$E$113,"510",$CY$4:$CY$113)</f>
        <v>0</v>
      </c>
      <c r="CZ122" s="119">
        <f>SUMIF($E$4:$E$113,"510",$CZ$4:$CZ$113)</f>
        <v>0</v>
      </c>
      <c r="DA122" s="119">
        <f>SUMIF($E$4:$E$113,"510",$DA$4:$DA$113)</f>
        <v>0</v>
      </c>
      <c r="DB122" s="119">
        <f>SUMIF($E$4:$E$113,"510",$DB$4:$DB$113)</f>
        <v>0</v>
      </c>
      <c r="DC122" s="119">
        <f>SUMIF($E$4:$E$113,"510",$DC$4:$DC$113)</f>
        <v>0</v>
      </c>
      <c r="DD122" s="119">
        <f>SUMIF($E$4:$E$113,"510",$DD$4:$DD$113)</f>
        <v>0</v>
      </c>
      <c r="DE122" s="119">
        <f>SUMIF($E$4:$E$113,"510",$DE$4:$DE$113)</f>
        <v>94043939</v>
      </c>
      <c r="DF122" s="119">
        <f>SUMIF($E$4:$E$113,"510",$DF$4:$DF$113)</f>
        <v>11000000</v>
      </c>
      <c r="DG122" s="119">
        <f>SUMIF($E$4:$E$113,"510",$DG$4:$DG$113)</f>
        <v>0</v>
      </c>
      <c r="DH122" s="119">
        <f>SUMIF($E$4:$E$113,"510",$DH$4:$DH$113)</f>
        <v>0</v>
      </c>
      <c r="DI122" s="119">
        <f>SUMIF($E$4:$E$113,"510",$DI$4:$DI$113)</f>
        <v>0</v>
      </c>
      <c r="DJ122" s="119">
        <f>SUMIF($E$4:$E$113,"510",$DJ$4:$DJ$113)</f>
        <v>0</v>
      </c>
      <c r="DK122" s="119">
        <f>SUMIF($E$4:$E$113,"510",$DK$4:$DK$113)</f>
        <v>101531131</v>
      </c>
      <c r="DM122" s="26">
        <f t="shared" si="123"/>
        <v>1580182191</v>
      </c>
      <c r="DN122" s="26">
        <f t="shared" si="124"/>
        <v>1580182191</v>
      </c>
      <c r="DO122" s="26">
        <f t="shared" si="125"/>
        <v>1580182191</v>
      </c>
    </row>
    <row r="123" spans="1:120" x14ac:dyDescent="0.25">
      <c r="C123" s="121"/>
      <c r="D123" s="110" t="s">
        <v>361</v>
      </c>
      <c r="E123" s="103">
        <v>520</v>
      </c>
      <c r="F123" s="111"/>
      <c r="G123" s="112">
        <f>SUMIF($E$4:$E$113,"520",$G$4:$G$113)</f>
        <v>2532390317</v>
      </c>
      <c r="H123" s="113">
        <f>SUMIF($E$4:$E$113,"520",$H$4:$H$113)</f>
        <v>0</v>
      </c>
      <c r="I123" s="113">
        <f>SUMIF($E$4:$E$113,"520",$I$4:$I$113)</f>
        <v>422000000</v>
      </c>
      <c r="J123" s="112">
        <f>SUMIF($E$4:$E$113,"520",$J$4:$J$113)</f>
        <v>0</v>
      </c>
      <c r="K123" s="112">
        <f>SUMIF($E$4:$E$113,"520",$K$4:$K$113)</f>
        <v>0</v>
      </c>
      <c r="L123" s="111">
        <f>SUMIF($E$4:$E$113,"520",$L$4:$L$113)</f>
        <v>0</v>
      </c>
      <c r="M123" s="111">
        <f>SUMIF($E$4:$E$113,"520",$M$4:$M$113)</f>
        <v>0</v>
      </c>
      <c r="N123" s="111">
        <f>SUMIF($E$4:$E$113,"520",$N$4:$N$113)</f>
        <v>0</v>
      </c>
      <c r="O123" s="111">
        <f>SUMIF($E$4:$E$113,"520",$O$4:$O$113)</f>
        <v>0</v>
      </c>
      <c r="P123" s="111">
        <f>SUMIF($E$4:$E$113,"520",$P$4:$P$113)</f>
        <v>0</v>
      </c>
      <c r="Q123" s="111">
        <f>SUMIF($E$4:$E$113,"520",$Q$4:$Q$113)</f>
        <v>0</v>
      </c>
      <c r="R123" s="111">
        <f>SUMIF($E$4:$E$113,"520",$R$4:$R$113)</f>
        <v>0</v>
      </c>
      <c r="S123" s="111">
        <f>SUMIF($E$4:$E$113,"520",$S$4:$S$113)</f>
        <v>1018432040</v>
      </c>
      <c r="T123" s="111">
        <f>SUMIF($E$4:$E$113,"520",$T$4:$T$113)</f>
        <v>0</v>
      </c>
      <c r="U123" s="111">
        <f>SUMIF($E$4:$E$113,"520",$U$4:$U$113)</f>
        <v>100000000</v>
      </c>
      <c r="V123" s="111">
        <f>SUMIF($E$4:$E$113,"520",$V$4:$V$113)</f>
        <v>272084973</v>
      </c>
      <c r="W123" s="111">
        <f>SUMIF($E$4:$E$106,"520",$W$4:$W$106)</f>
        <v>0</v>
      </c>
      <c r="X123" s="111"/>
      <c r="Y123" s="111">
        <f>SUMIF($E$4:$E$113,"520",$Y$4:$Y$113)</f>
        <v>0</v>
      </c>
      <c r="Z123" s="111">
        <f>SUMIF($E$4:$E$113,"520",$Z$4:$Z$113)</f>
        <v>0</v>
      </c>
      <c r="AA123" s="111">
        <f>SUMIF($E$4:$E$113,"520",$AA$4:$AA$113)</f>
        <v>719873304</v>
      </c>
      <c r="AB123" s="114">
        <f t="shared" si="114"/>
        <v>0.84900847612899788</v>
      </c>
      <c r="AC123" s="25">
        <f t="shared" si="115"/>
        <v>2150020844</v>
      </c>
      <c r="AD123" s="112">
        <f>SUMIF($E$4:$E$113,"520",$AD$4:$AD$113)</f>
        <v>0</v>
      </c>
      <c r="AE123" s="112">
        <f>SUMIF($E$4:$E$113,"520",$AE$4:$AE$113)</f>
        <v>399043533</v>
      </c>
      <c r="AF123" s="112">
        <f>SUMIF($E$4:$E$113,"520",$AF$4:$AF$113)</f>
        <v>0</v>
      </c>
      <c r="AG123" s="112">
        <f>SUMIF($E$4:$E$113,"520",$AG$4:$AG$113)</f>
        <v>0</v>
      </c>
      <c r="AH123" s="112">
        <f>SUMIF($E$4:$E$113,"520",$AH$4:$AH$113)</f>
        <v>0</v>
      </c>
      <c r="AI123" s="112">
        <f>SUMIF($E$4:$E$113,"520",$AI$4:$AI$113)</f>
        <v>0</v>
      </c>
      <c r="AJ123" s="112">
        <f>SUMIF($E$4:$E$113,"520",$AJ$4:$AJ$113)</f>
        <v>0</v>
      </c>
      <c r="AK123" s="112">
        <f>SUMIF($E$4:$E$113,"520",$AK$4:$AK$113)</f>
        <v>0</v>
      </c>
      <c r="AL123" s="112">
        <f>SUMIF($E$4:$E$113,"520",$AL$4:$AL$113)</f>
        <v>0</v>
      </c>
      <c r="AM123" s="112">
        <f>SUMIF($E$4:$E$113,"520",$AM$4:$AM$113)</f>
        <v>0</v>
      </c>
      <c r="AN123" s="112">
        <f>SUMIF($E$4:$E$113,"520",$AN$4:$AN$113)</f>
        <v>0</v>
      </c>
      <c r="AO123" s="112">
        <f>SUMIF($E$4:$E$113,"520",$AO$4:$AO$113)</f>
        <v>780745920</v>
      </c>
      <c r="AP123" s="112">
        <f>SUMIF($E$4:$E$113,"520",$AP$4:$AP$113)</f>
        <v>0</v>
      </c>
      <c r="AQ123" s="112">
        <f>SUMIF($E$4:$E$113,"520",$AQ$4:$AQ$113)</f>
        <v>100000000</v>
      </c>
      <c r="AR123" s="112">
        <f>SUMIF($E$4:$E$113,"520",$AR$4:$AR$113)</f>
        <v>239883201</v>
      </c>
      <c r="AS123" s="112">
        <f>SUMIF($E$4:$E$113,"520",$AS$4:$AS$113)</f>
        <v>0</v>
      </c>
      <c r="AT123" s="112">
        <f>SUMIF($E$4:$E$113,"520",$AT$4:$AT$113)</f>
        <v>0</v>
      </c>
      <c r="AU123" s="112">
        <f>SUMIF($E$4:$E$113,"520",$AU$4:$AU$113)</f>
        <v>0</v>
      </c>
      <c r="AV123" s="112">
        <f>SUMIF($E$4:$E$113,"520",$AV$4:$AV$113)</f>
        <v>0</v>
      </c>
      <c r="AW123" s="112">
        <f>SUMIF($E$4:$E$113,"520",$AW$4:$AW$113)</f>
        <v>630348190</v>
      </c>
      <c r="AX123" s="97">
        <f t="shared" si="116"/>
        <v>0.15099152387100212</v>
      </c>
      <c r="AY123" s="25">
        <f t="shared" si="117"/>
        <v>382369473</v>
      </c>
      <c r="AZ123" s="115">
        <f>SUMIF($E$4:$E$113,"520",$AZ$4:$AZ$113)</f>
        <v>0</v>
      </c>
      <c r="BA123" s="115">
        <f>SUMIF($E$4:$E$113,"520",$BA$4:$BA$113)</f>
        <v>22956467</v>
      </c>
      <c r="BB123" s="115">
        <f>SUMIF($E$4:$E$113,"520",$BB$4:$BB$113)</f>
        <v>0</v>
      </c>
      <c r="BC123" s="115">
        <f>SUMIF($E$4:$E$113,"520",$BC$4:$BC$113)</f>
        <v>0</v>
      </c>
      <c r="BD123" s="115">
        <f>SUMIF($E$4:$E$113,"520",$BD$4:$BD$113)</f>
        <v>0</v>
      </c>
      <c r="BE123" s="115">
        <f>SUMIF($E$4:$E$113,"520",$BE$4:$BE$113)</f>
        <v>0</v>
      </c>
      <c r="BF123" s="115">
        <f>SUMIF($E$4:$E$113,"520",$BF$4:$BF$113)</f>
        <v>0</v>
      </c>
      <c r="BG123" s="115">
        <f>SUMIF($E$4:$E$113,"520",$BG$4:$BG$113)</f>
        <v>0</v>
      </c>
      <c r="BH123" s="115">
        <f>SUMIF($E$4:$E$113,"520",$BH$4:$BH$113)</f>
        <v>0</v>
      </c>
      <c r="BI123" s="115">
        <f>SUMIF($E$4:$E$113,"520",$BI$4:$BI$113)</f>
        <v>0</v>
      </c>
      <c r="BJ123" s="115">
        <f>SUMIF($E$4:$E$113,"520",$BJ$4:$BJ$113)</f>
        <v>0</v>
      </c>
      <c r="BK123" s="115">
        <f>SUMIF($E$4:$E$113,"520",$BK$4:$BK$113)</f>
        <v>237686120</v>
      </c>
      <c r="BL123" s="115">
        <f>SUMIF($E$4:$E$113,"520",$BL$4:$BL$113)</f>
        <v>0</v>
      </c>
      <c r="BM123" s="115">
        <f>SUMIF($E$4:$E$113,"520",$BM$4:$BM$113)</f>
        <v>0</v>
      </c>
      <c r="BN123" s="115">
        <f>SUMIF($E$4:$E$113,"520",$BN$4:$BN$113)</f>
        <v>32201772</v>
      </c>
      <c r="BO123" s="115">
        <f>SUMIF($E$4:$E$113,"111",$BO$4:$BO$113)</f>
        <v>0</v>
      </c>
      <c r="BP123" s="115">
        <f>SUMIF($E$4:$E$113,"520",$BP$4:$BP$113)</f>
        <v>0</v>
      </c>
      <c r="BQ123" s="115">
        <f>SUMIF($E$4:$E$113,"520",$BQ$4:$BQ$113)</f>
        <v>0</v>
      </c>
      <c r="BR123" s="115">
        <f>SUMIF($E$4:$E$113,"520",$BR$4:$BR$113)</f>
        <v>0</v>
      </c>
      <c r="BS123" s="116">
        <f>SUMIF($E$4:$E$113,"520",$BS$4:$BS$113)</f>
        <v>89525114</v>
      </c>
      <c r="BT123" s="117">
        <f t="shared" si="118"/>
        <v>0.74558850044757929</v>
      </c>
      <c r="BU123" s="25">
        <f t="shared" si="119"/>
        <v>1888121099</v>
      </c>
      <c r="BV123" s="112">
        <f>SUMIF($E$4:$E$113,"520",$BV$4:$BV$113)</f>
        <v>0</v>
      </c>
      <c r="BW123" s="112">
        <f>SUMIF($E$4:$E$113,"520",$BW$4:$BW$113)</f>
        <v>376948878</v>
      </c>
      <c r="BX123" s="112">
        <f>SUMIF($E$4:$E$113,"520",$BX$4:$BX$113)</f>
        <v>0</v>
      </c>
      <c r="BY123" s="112">
        <f>SUMIF($E$4:$E$113,"520",$BY$4:$BY$113)</f>
        <v>0</v>
      </c>
      <c r="BZ123" s="112">
        <f>SUMIF($E$4:$E$113,"520",$BZ$4:$BZ$113)</f>
        <v>0</v>
      </c>
      <c r="CA123" s="112">
        <f>SUMIF($E$4:$E$113,"520",$CA$4:$CA$113)</f>
        <v>0</v>
      </c>
      <c r="CB123" s="112">
        <f>SUMIF($E$4:$E$113,"520",$CB$4:$CB$113)</f>
        <v>0</v>
      </c>
      <c r="CC123" s="112"/>
      <c r="CD123" s="112">
        <f>SUMIF($E$4:$E$113,"520",$CD$4:$CD$113)</f>
        <v>0</v>
      </c>
      <c r="CE123" s="112">
        <f>SUMIF($E$4:$E$113,"520",$CE$4:$CE$113)</f>
        <v>0</v>
      </c>
      <c r="CF123" s="112">
        <f>SUMIF($E$4:$E$113,"520",$CF$4:$CF$113)</f>
        <v>0</v>
      </c>
      <c r="CG123" s="112">
        <f>SUMIF($E$4:$E$113,"520",$CG$4:$CG$113)</f>
        <v>776599252</v>
      </c>
      <c r="CH123" s="112">
        <f>SUMIF($E$4:$E$113,"520",$CH$4:$CH$113)</f>
        <v>0</v>
      </c>
      <c r="CI123" s="112">
        <f>SUMIF($E$4:$E$113,"520",$CI$4:$CI$113)</f>
        <v>60640760</v>
      </c>
      <c r="CJ123" s="112">
        <f>SUMIF($E$4:$E$113,"520",$CJ$4:$CJ$113)</f>
        <v>140473723</v>
      </c>
      <c r="CK123" s="112">
        <f>SUMIF($E$4:$E$113,"520",$CK$4:$CK$113)</f>
        <v>0</v>
      </c>
      <c r="CL123" s="112">
        <f>SUMIF($E$4:$E$113,"111",$CL$4:$CL$113)</f>
        <v>0</v>
      </c>
      <c r="CM123" s="112">
        <f>SUMIF($E$4:$E$113,"520",$CM$4:$CM$113)</f>
        <v>0</v>
      </c>
      <c r="CN123" s="112">
        <f>SUMIF($E$4:$E$113,"520",$CN$4:$CN$113)</f>
        <v>0</v>
      </c>
      <c r="CO123" s="118">
        <f>SUMIF($E$4:$E$113,"520",$CO$4:$CO$113)</f>
        <v>533458486</v>
      </c>
      <c r="CP123" s="23">
        <f t="shared" si="121"/>
        <v>0.25441149955242071</v>
      </c>
      <c r="CQ123" s="25">
        <f t="shared" si="122"/>
        <v>644269218</v>
      </c>
      <c r="CR123" s="115">
        <f>SUMIF($E$4:$E$113,"520",$CR$4:$CR$113)</f>
        <v>0</v>
      </c>
      <c r="CS123" s="115">
        <f>SUMIF($E$4:$E$113,"520",$CS$4:$CS$113)</f>
        <v>45051122</v>
      </c>
      <c r="CT123" s="115">
        <f>SUMIF($E$4:$E$113,"520",$CT$4:$CT$113)</f>
        <v>0</v>
      </c>
      <c r="CU123" s="115">
        <f>SUMIF($E$4:$E$113,"520",$CU$4:$CU$113)</f>
        <v>0</v>
      </c>
      <c r="CV123" s="115">
        <f>SUMIF($E$4:$E$113,"520",$CV$4:$CV$113)</f>
        <v>0</v>
      </c>
      <c r="CW123" s="115">
        <f>SUMIF($E$4:$E$113,"520",$CW$4:$CW$113)</f>
        <v>0</v>
      </c>
      <c r="CX123" s="115">
        <f>SUMIF($E$4:$E$113,"520",$CX$4:$CX$113)</f>
        <v>0</v>
      </c>
      <c r="CY123" s="115">
        <f>SUMIF($E$4:$E$113,"520",$CY$4:$CY$113)</f>
        <v>0</v>
      </c>
      <c r="CZ123" s="119">
        <f>SUMIF($E$4:$E$113,"520",$CZ$4:$CZ$113)</f>
        <v>0</v>
      </c>
      <c r="DA123" s="119">
        <f>SUMIF($E$4:$E$113,"520",$DA$4:$DA$113)</f>
        <v>0</v>
      </c>
      <c r="DB123" s="119">
        <f>SUMIF($E$4:$E$113,"520",$DB$4:$DB$113)</f>
        <v>0</v>
      </c>
      <c r="DC123" s="119">
        <f>SUMIF($E$4:$E$113,"520",$DC$4:$DC$113)</f>
        <v>241832788</v>
      </c>
      <c r="DD123" s="119">
        <f>SUMIF($E$4:$E$113,"520",$DD$4:$DD$113)</f>
        <v>0</v>
      </c>
      <c r="DE123" s="119">
        <f>SUMIF($E$4:$E$113,"520",$DE$4:$DE$113)</f>
        <v>39359240</v>
      </c>
      <c r="DF123" s="119">
        <f>SUMIF($E$4:$E$113,"520",$DF$4:$DF$113)</f>
        <v>131611250</v>
      </c>
      <c r="DG123" s="119">
        <f>SUMIF($E$4:$E$113,"520",$DG$4:$DG$113)</f>
        <v>0</v>
      </c>
      <c r="DH123" s="119">
        <f>SUMIF($E$4:$E$113,"520",$DH$4:$DH$113)</f>
        <v>0</v>
      </c>
      <c r="DI123" s="119">
        <f>SUMIF($E$4:$E$113,"520",$DI$4:$DI$113)</f>
        <v>0</v>
      </c>
      <c r="DJ123" s="119">
        <f>SUMIF($E$4:$E$113,"520",$DJ$4:$DJ$113)</f>
        <v>0</v>
      </c>
      <c r="DK123" s="119">
        <f>SUMIF($E$4:$E$113,"520",$DK$4:$DK$113)</f>
        <v>186414818</v>
      </c>
      <c r="DM123" s="26">
        <f t="shared" si="123"/>
        <v>2532390317</v>
      </c>
      <c r="DN123" s="26">
        <f t="shared" si="124"/>
        <v>2532390317</v>
      </c>
      <c r="DO123" s="26">
        <f t="shared" si="125"/>
        <v>2532390317</v>
      </c>
    </row>
    <row r="124" spans="1:120" x14ac:dyDescent="0.25">
      <c r="C124" s="121"/>
      <c r="D124" s="110" t="s">
        <v>362</v>
      </c>
      <c r="E124" s="103" t="s">
        <v>334</v>
      </c>
      <c r="F124" s="111"/>
      <c r="G124" s="112">
        <f>SUMIF($E$4:$E$113,"520-2",$G$4:$G$113)</f>
        <v>823639235</v>
      </c>
      <c r="H124" s="113"/>
      <c r="I124" s="113"/>
      <c r="J124" s="113"/>
      <c r="K124" s="112">
        <f>SUMIF($E$4:$E$113,"520-2",$K$4:$K$113)</f>
        <v>0</v>
      </c>
      <c r="L124" s="113"/>
      <c r="M124" s="113"/>
      <c r="N124" s="111">
        <f>SUMIF($E$4:$E$113,"520-2",$N$4:$N$113)</f>
        <v>0</v>
      </c>
      <c r="O124" s="113"/>
      <c r="P124" s="113"/>
      <c r="Q124" s="113"/>
      <c r="R124" s="113"/>
      <c r="S124" s="113"/>
      <c r="T124" s="113"/>
      <c r="U124" s="111">
        <f>SUMIF($E$4:$E$113,"520-2",$U$4:$U$113)</f>
        <v>123182603</v>
      </c>
      <c r="V124" s="113"/>
      <c r="W124" s="113"/>
      <c r="X124" s="113"/>
      <c r="Y124" s="111">
        <f>SUMIF($E$4:$E$113,"520-2",$Y$4:$Y$113)</f>
        <v>667371659</v>
      </c>
      <c r="Z124" s="111">
        <f>SUMIF($E$4:$E$113,"520-2",$Z$4:$Z$113)</f>
        <v>33084973</v>
      </c>
      <c r="AA124" s="111">
        <f>SUMIF($E$4:$E$113,"520-2",$AA$4:$AA$113)</f>
        <v>0</v>
      </c>
      <c r="AB124" s="114">
        <f t="shared" si="114"/>
        <v>1</v>
      </c>
      <c r="AC124" s="25">
        <f t="shared" si="115"/>
        <v>823639235</v>
      </c>
      <c r="AD124" s="112">
        <f>SUMIF($E$4:$E$113,"520-2",$AD$4:$AD$113)</f>
        <v>0</v>
      </c>
      <c r="AE124" s="112">
        <f>SUMIF($E$4:$E$113,"520-2",$AE$4:$AE$113)</f>
        <v>0</v>
      </c>
      <c r="AF124" s="112">
        <f>SUMIF($E$4:$E$113,"520-2",$AF$4:$AF$113)</f>
        <v>0</v>
      </c>
      <c r="AG124" s="112">
        <f>SUMIF($E$4:$E$113,"520-2",$AG$4:$AG$113)</f>
        <v>0</v>
      </c>
      <c r="AH124" s="112">
        <f>SUMIF($E$4:$E$113,"520-2",$AH$4:$AH$113)</f>
        <v>0</v>
      </c>
      <c r="AI124" s="112">
        <f>SUMIF($E$4:$E$113,"520-2",$AI$4:$AI$113)</f>
        <v>0</v>
      </c>
      <c r="AJ124" s="112">
        <f>SUMIF($E$4:$E$113,"520-2",$AJ$4:$AJ$113)</f>
        <v>0</v>
      </c>
      <c r="AK124" s="112">
        <f>SUMIF($E$4:$E$113,"520-2",$AK$4:$AK$113)</f>
        <v>0</v>
      </c>
      <c r="AL124" s="112">
        <f>SUMIF($E$4:$E$113,"520-2",$AL$4:$AL$113)</f>
        <v>0</v>
      </c>
      <c r="AM124" s="112">
        <f>SUMIF($E$4:$E$113,"520-2",$AM$4:$AM$113)</f>
        <v>0</v>
      </c>
      <c r="AN124" s="112">
        <f>SUMIF($E$4:$E$113,"520-2",$AN$4:$AN$113)</f>
        <v>0</v>
      </c>
      <c r="AO124" s="112">
        <f>SUMIF($E$4:$E$113,"520-2",$AO$4:$AO$113)</f>
        <v>0</v>
      </c>
      <c r="AP124" s="112">
        <f>SUMIF($E$4:$E$113,"520-2",$AP$4:$AP$113)</f>
        <v>0</v>
      </c>
      <c r="AQ124" s="112">
        <f>SUMIF($E$4:$E$113,"520-2",$AQ$4:$AQ$113)</f>
        <v>123182603</v>
      </c>
      <c r="AR124" s="112">
        <f>SUMIF($E$4:$E$113,"520-2",$AR$4:$AR$113)</f>
        <v>0</v>
      </c>
      <c r="AS124" s="112">
        <f>SUMIF($E$4:$E$113,"520-2",$AS$4:$AS$113)</f>
        <v>0</v>
      </c>
      <c r="AT124" s="112">
        <f>SUMIF($E$4:$E$113,"520-2",$AT$4:$AT$113)</f>
        <v>0</v>
      </c>
      <c r="AU124" s="112">
        <f>SUMIF($E$4:$E$113,"520-2",$AU$4:$AU$113)</f>
        <v>667371659</v>
      </c>
      <c r="AV124" s="112">
        <f>SUMIF($E$4:$E$113,"520-2",$AV$4:$AV$113)</f>
        <v>33084973</v>
      </c>
      <c r="AW124" s="112">
        <f>SUMIF($E$4:$E$113,"520-2",$AW$4:$AW$113)</f>
        <v>0</v>
      </c>
      <c r="AX124" s="97">
        <f t="shared" si="116"/>
        <v>0</v>
      </c>
      <c r="AY124" s="25">
        <f t="shared" si="117"/>
        <v>0</v>
      </c>
      <c r="AZ124" s="115"/>
      <c r="BA124" s="115"/>
      <c r="BB124" s="115"/>
      <c r="BC124" s="115">
        <f>SUMIF($E$4:$E$113,"520-2",$BC$4:$BC$113)</f>
        <v>0</v>
      </c>
      <c r="BD124" s="115"/>
      <c r="BE124" s="115"/>
      <c r="BF124" s="115"/>
      <c r="BG124" s="115"/>
      <c r="BH124" s="115"/>
      <c r="BI124" s="115"/>
      <c r="BJ124" s="115"/>
      <c r="BK124" s="115"/>
      <c r="BL124" s="115"/>
      <c r="BM124" s="115">
        <f>SUMIF($E$4:$E$113,"520-2",$BM$4:$BM$113)</f>
        <v>0</v>
      </c>
      <c r="BN124" s="115"/>
      <c r="BO124" s="115"/>
      <c r="BP124" s="115">
        <f>SUMIF($E$4:$E$113,"520-2",$BP$4:$BP$113)</f>
        <v>0</v>
      </c>
      <c r="BQ124" s="115">
        <f>SUMIF($E$4:$E$113,"520-2",$BQ$4:$BQ$113)</f>
        <v>0</v>
      </c>
      <c r="BR124" s="115">
        <f>SUMIF($E$4:$E$113,"520-2",$BR$4:$BR$113)</f>
        <v>0</v>
      </c>
      <c r="BS124" s="116">
        <f>SUMIF($E$4:$E$113,"520-2",$BS$4:$BS$113)</f>
        <v>0</v>
      </c>
      <c r="BT124" s="117">
        <f t="shared" si="118"/>
        <v>0.75743387819546992</v>
      </c>
      <c r="BU124" s="25">
        <f t="shared" si="119"/>
        <v>623852260</v>
      </c>
      <c r="BV124" s="112">
        <f>SUMIF($E$4:$E$113,"520-2",$BV$4:$BV$113)</f>
        <v>0</v>
      </c>
      <c r="BW124" s="112">
        <f>SUMIF($E$4:$E$113,"520-2",$BW$4:$BW$113)</f>
        <v>0</v>
      </c>
      <c r="BX124" s="112">
        <f>SUMIF($E$4:$E$113,"520-2",$BX$4:$BX$113)</f>
        <v>0</v>
      </c>
      <c r="BY124" s="112">
        <f>SUMIF($E$4:$E$113,"520-2",$BY$4:$BY$113)</f>
        <v>0</v>
      </c>
      <c r="BZ124" s="112">
        <f>SUMIF($E$4:$E$113,"520-2",$BZ$4:$BZ$113)</f>
        <v>0</v>
      </c>
      <c r="CA124" s="112">
        <f>SUMIF($E$4:$E$113,"520-2",$CA$4:$CA$113)</f>
        <v>0</v>
      </c>
      <c r="CB124" s="112">
        <f>SUMIF($E$4:$E$113,"520-2",$CB$4:$CB$113)</f>
        <v>0</v>
      </c>
      <c r="CC124" s="112"/>
      <c r="CD124" s="112"/>
      <c r="CE124" s="112"/>
      <c r="CF124" s="112"/>
      <c r="CG124" s="112"/>
      <c r="CH124" s="112">
        <f>SUMIF($E$4:$E$113,"520-2",$CH$4:$CH$113)</f>
        <v>0</v>
      </c>
      <c r="CI124" s="112">
        <f>SUMIF($E$4:$E$113,"520-2",$CI$4:$CI$113)</f>
        <v>0</v>
      </c>
      <c r="CJ124" s="112"/>
      <c r="CK124" s="112"/>
      <c r="CL124" s="112">
        <f>SUMIF($E$4:$E$113,"111",$CL$4:$CL$113)</f>
        <v>0</v>
      </c>
      <c r="CM124" s="112">
        <f>SUMIF($E$4:$E$113,"520-2",$CM$4:$CM$113)</f>
        <v>591018660</v>
      </c>
      <c r="CN124" s="112">
        <f>+'[1]ENERO 2017'!$H$908</f>
        <v>32833600</v>
      </c>
      <c r="CO124" s="118">
        <f>SUMIF($E$4:$E$113,"520-2",$CO$4:$CO$113)</f>
        <v>0</v>
      </c>
      <c r="CP124" s="23">
        <f t="shared" si="121"/>
        <v>0.24256612180453008</v>
      </c>
      <c r="CQ124" s="25">
        <f t="shared" si="122"/>
        <v>199786975</v>
      </c>
      <c r="CR124" s="116"/>
      <c r="CS124" s="116"/>
      <c r="CT124" s="116"/>
      <c r="CU124" s="116"/>
      <c r="CV124" s="115"/>
      <c r="CW124" s="115"/>
      <c r="CX124" s="115"/>
      <c r="CY124" s="115"/>
      <c r="CZ124" s="119"/>
      <c r="DA124" s="119"/>
      <c r="DB124" s="119"/>
      <c r="DC124" s="119"/>
      <c r="DD124" s="119"/>
      <c r="DE124" s="119">
        <f>SUMIF($E$4:$E$113,"520-2",$DE$4:$DE$113)</f>
        <v>123182603</v>
      </c>
      <c r="DF124" s="119"/>
      <c r="DG124" s="119"/>
      <c r="DH124" s="119">
        <f>SUMIF($E$4:$E$113,"520-2",$DH$4:$DH$113)</f>
        <v>0</v>
      </c>
      <c r="DI124" s="119">
        <f>SUMIF($E$4:$E$113,"520-2",$DI$4:$DI$113)</f>
        <v>76352999</v>
      </c>
      <c r="DJ124" s="119">
        <f>SUMIF($E$4:$E$113,"520-2",$DJ$4:$DJ$113)</f>
        <v>251373</v>
      </c>
      <c r="DK124" s="119">
        <f>SUMIF($E$4:$E$113,"520-2",$DK$4:$DK$113)</f>
        <v>0</v>
      </c>
      <c r="DM124" s="26">
        <f t="shared" si="123"/>
        <v>823639235</v>
      </c>
      <c r="DN124" s="26">
        <f t="shared" si="124"/>
        <v>823639235</v>
      </c>
      <c r="DO124" s="26">
        <f t="shared" si="125"/>
        <v>823639235</v>
      </c>
    </row>
    <row r="125" spans="1:120" x14ac:dyDescent="0.25">
      <c r="C125" s="121"/>
      <c r="D125" s="110" t="s">
        <v>363</v>
      </c>
      <c r="E125" s="123"/>
      <c r="F125" s="124"/>
      <c r="G125" s="125">
        <f t="shared" ref="G125:AA125" si="126">SUM(G118:G124)</f>
        <v>18846020368</v>
      </c>
      <c r="H125" s="125">
        <f t="shared" si="126"/>
        <v>181434097</v>
      </c>
      <c r="I125" s="125">
        <f t="shared" si="126"/>
        <v>2084954283</v>
      </c>
      <c r="J125" s="125">
        <f t="shared" si="126"/>
        <v>3950000000</v>
      </c>
      <c r="K125" s="125">
        <f t="shared" si="126"/>
        <v>1973969361</v>
      </c>
      <c r="L125" s="125">
        <f t="shared" si="126"/>
        <v>80883013</v>
      </c>
      <c r="M125" s="125">
        <f t="shared" si="126"/>
        <v>210796645</v>
      </c>
      <c r="N125" s="125">
        <f t="shared" si="126"/>
        <v>12004716</v>
      </c>
      <c r="O125" s="125">
        <f t="shared" si="126"/>
        <v>6840985</v>
      </c>
      <c r="P125" s="125">
        <f t="shared" si="126"/>
        <v>30665828</v>
      </c>
      <c r="Q125" s="125">
        <f t="shared" si="126"/>
        <v>1940856</v>
      </c>
      <c r="R125" s="125">
        <f t="shared" si="126"/>
        <v>135153822</v>
      </c>
      <c r="S125" s="125">
        <f t="shared" si="126"/>
        <v>4175989854</v>
      </c>
      <c r="T125" s="125">
        <f t="shared" si="126"/>
        <v>300000000</v>
      </c>
      <c r="U125" s="125">
        <f t="shared" si="126"/>
        <v>953441613</v>
      </c>
      <c r="V125" s="125">
        <f t="shared" si="126"/>
        <v>1720354141</v>
      </c>
      <c r="W125" s="125">
        <f t="shared" si="126"/>
        <v>0</v>
      </c>
      <c r="X125" s="125">
        <f t="shared" si="126"/>
        <v>119946741</v>
      </c>
      <c r="Y125" s="125">
        <f t="shared" si="126"/>
        <v>667371659</v>
      </c>
      <c r="Z125" s="125">
        <f t="shared" si="126"/>
        <v>33084973</v>
      </c>
      <c r="AA125" s="125">
        <f t="shared" si="126"/>
        <v>2207187781</v>
      </c>
      <c r="AB125" s="114">
        <f t="shared" si="114"/>
        <v>0.81510165918547206</v>
      </c>
      <c r="AC125" s="125">
        <f t="shared" ref="AC125:AW127" si="127">SUM(AC118:AC124)</f>
        <v>15361422471</v>
      </c>
      <c r="AD125" s="125">
        <f t="shared" si="127"/>
        <v>181434097</v>
      </c>
      <c r="AE125" s="125">
        <f t="shared" si="127"/>
        <v>1932174326</v>
      </c>
      <c r="AF125" s="125">
        <f t="shared" si="127"/>
        <v>3309245909</v>
      </c>
      <c r="AG125" s="125">
        <f>SUM(AG118:AG124)</f>
        <v>1868018700</v>
      </c>
      <c r="AH125" s="125">
        <f>SUM(AH118:AH124)</f>
        <v>80883013</v>
      </c>
      <c r="AI125" s="125">
        <f t="shared" si="127"/>
        <v>11416500</v>
      </c>
      <c r="AJ125" s="125">
        <f t="shared" si="127"/>
        <v>12004716</v>
      </c>
      <c r="AK125" s="125">
        <f t="shared" si="127"/>
        <v>6840985</v>
      </c>
      <c r="AL125" s="125">
        <f t="shared" si="127"/>
        <v>30665828</v>
      </c>
      <c r="AM125" s="125">
        <f t="shared" si="127"/>
        <v>0</v>
      </c>
      <c r="AN125" s="125">
        <f t="shared" si="127"/>
        <v>135153822</v>
      </c>
      <c r="AO125" s="125">
        <f t="shared" si="127"/>
        <v>2951299250</v>
      </c>
      <c r="AP125" s="125">
        <f>SUM(AP118:AP124)</f>
        <v>149455530</v>
      </c>
      <c r="AQ125" s="125">
        <f t="shared" si="127"/>
        <v>911441613</v>
      </c>
      <c r="AR125" s="125">
        <f t="shared" si="127"/>
        <v>1485140669</v>
      </c>
      <c r="AS125" s="125">
        <f t="shared" si="127"/>
        <v>0</v>
      </c>
      <c r="AT125" s="125">
        <f t="shared" si="127"/>
        <v>119946741</v>
      </c>
      <c r="AU125" s="125">
        <f t="shared" si="127"/>
        <v>667371659</v>
      </c>
      <c r="AV125" s="125">
        <f t="shared" si="127"/>
        <v>33084973</v>
      </c>
      <c r="AW125" s="125">
        <f t="shared" si="127"/>
        <v>1475844140</v>
      </c>
      <c r="AX125" s="97">
        <f t="shared" si="116"/>
        <v>0.18489834081452794</v>
      </c>
      <c r="AY125" s="126">
        <f t="shared" ref="AY125:BS125" si="128">SUM(AY118:AY124)</f>
        <v>3484597897</v>
      </c>
      <c r="AZ125" s="126">
        <f t="shared" si="128"/>
        <v>0</v>
      </c>
      <c r="BA125" s="126">
        <f t="shared" si="128"/>
        <v>152779957</v>
      </c>
      <c r="BB125" s="126">
        <f t="shared" si="128"/>
        <v>640754091</v>
      </c>
      <c r="BC125" s="126">
        <f t="shared" si="128"/>
        <v>105950661</v>
      </c>
      <c r="BD125" s="126">
        <f t="shared" si="128"/>
        <v>0</v>
      </c>
      <c r="BE125" s="126">
        <f t="shared" si="128"/>
        <v>199380145</v>
      </c>
      <c r="BF125" s="126">
        <f t="shared" si="128"/>
        <v>0</v>
      </c>
      <c r="BG125" s="126">
        <f t="shared" si="128"/>
        <v>0</v>
      </c>
      <c r="BH125" s="126">
        <f t="shared" si="128"/>
        <v>0</v>
      </c>
      <c r="BI125" s="126">
        <f t="shared" si="128"/>
        <v>1940856</v>
      </c>
      <c r="BJ125" s="126">
        <f t="shared" si="128"/>
        <v>0</v>
      </c>
      <c r="BK125" s="126">
        <f t="shared" si="128"/>
        <v>1224690604</v>
      </c>
      <c r="BL125" s="126">
        <f t="shared" si="128"/>
        <v>150544470</v>
      </c>
      <c r="BM125" s="126">
        <f t="shared" si="128"/>
        <v>42000000</v>
      </c>
      <c r="BN125" s="126">
        <f t="shared" si="128"/>
        <v>235213472</v>
      </c>
      <c r="BO125" s="126">
        <f t="shared" si="128"/>
        <v>0</v>
      </c>
      <c r="BP125" s="126">
        <f t="shared" si="128"/>
        <v>0</v>
      </c>
      <c r="BQ125" s="126">
        <f t="shared" si="128"/>
        <v>0</v>
      </c>
      <c r="BR125" s="126">
        <f t="shared" si="128"/>
        <v>0</v>
      </c>
      <c r="BS125" s="126">
        <f t="shared" si="128"/>
        <v>731343641</v>
      </c>
      <c r="BT125" s="117">
        <f t="shared" si="118"/>
        <v>0.61055737754257322</v>
      </c>
      <c r="BU125" s="25">
        <f t="shared" si="119"/>
        <v>11506576773</v>
      </c>
      <c r="BV125" s="25">
        <f t="shared" ref="BV125:CO125" si="129">SUM(BV118:BV124)</f>
        <v>0</v>
      </c>
      <c r="BW125" s="25">
        <f t="shared" si="129"/>
        <v>1680676048</v>
      </c>
      <c r="BX125" s="25">
        <f t="shared" si="129"/>
        <v>2446083547</v>
      </c>
      <c r="BY125" s="25">
        <f t="shared" si="129"/>
        <v>1167895047</v>
      </c>
      <c r="BZ125" s="25">
        <f t="shared" si="129"/>
        <v>7736670</v>
      </c>
      <c r="CA125" s="25">
        <f t="shared" si="129"/>
        <v>11416500</v>
      </c>
      <c r="CB125" s="25">
        <f t="shared" si="129"/>
        <v>12004716</v>
      </c>
      <c r="CC125" s="25">
        <f t="shared" si="129"/>
        <v>6840985</v>
      </c>
      <c r="CD125" s="25">
        <f t="shared" si="129"/>
        <v>30665828</v>
      </c>
      <c r="CE125" s="25">
        <f t="shared" si="129"/>
        <v>0</v>
      </c>
      <c r="CF125" s="25">
        <f t="shared" si="129"/>
        <v>10153894</v>
      </c>
      <c r="CG125" s="25">
        <f t="shared" si="129"/>
        <v>2680257182</v>
      </c>
      <c r="CH125" s="25">
        <f t="shared" si="129"/>
        <v>149455530</v>
      </c>
      <c r="CI125" s="25">
        <f t="shared" si="129"/>
        <v>386609559</v>
      </c>
      <c r="CJ125" s="25">
        <f t="shared" si="129"/>
        <v>1134076957</v>
      </c>
      <c r="CK125" s="25">
        <f t="shared" si="129"/>
        <v>0</v>
      </c>
      <c r="CL125" s="25">
        <f t="shared" si="129"/>
        <v>44864678</v>
      </c>
      <c r="CM125" s="25">
        <f t="shared" si="129"/>
        <v>591018660</v>
      </c>
      <c r="CN125" s="25">
        <f t="shared" si="129"/>
        <v>32833600</v>
      </c>
      <c r="CO125" s="25">
        <f t="shared" si="129"/>
        <v>1113987372</v>
      </c>
      <c r="CP125" s="23">
        <f t="shared" si="121"/>
        <v>0.38944262245742678</v>
      </c>
      <c r="CQ125" s="125">
        <f t="shared" ref="CQ125:DK125" ca="1" si="130">SUM(CQ118:CQ124)</f>
        <v>7339443595</v>
      </c>
      <c r="CR125" s="125">
        <f t="shared" ca="1" si="130"/>
        <v>181434097</v>
      </c>
      <c r="CS125" s="125">
        <f t="shared" si="130"/>
        <v>404278235</v>
      </c>
      <c r="CT125" s="125">
        <f t="shared" si="130"/>
        <v>1503916453</v>
      </c>
      <c r="CU125" s="125">
        <f t="shared" si="130"/>
        <v>806074314</v>
      </c>
      <c r="CV125" s="125">
        <f t="shared" si="130"/>
        <v>73146343</v>
      </c>
      <c r="CW125" s="125">
        <f t="shared" si="130"/>
        <v>199380145</v>
      </c>
      <c r="CX125" s="125">
        <f t="shared" si="130"/>
        <v>0</v>
      </c>
      <c r="CY125" s="125">
        <f t="shared" si="130"/>
        <v>0</v>
      </c>
      <c r="CZ125" s="125">
        <f t="shared" si="130"/>
        <v>0</v>
      </c>
      <c r="DA125" s="125">
        <f t="shared" si="130"/>
        <v>1940856</v>
      </c>
      <c r="DB125" s="125">
        <f t="shared" si="130"/>
        <v>124999928</v>
      </c>
      <c r="DC125" s="125">
        <f t="shared" si="130"/>
        <v>1495732672</v>
      </c>
      <c r="DD125" s="125">
        <f t="shared" si="130"/>
        <v>150544470</v>
      </c>
      <c r="DE125" s="125">
        <f t="shared" si="130"/>
        <v>566832054</v>
      </c>
      <c r="DF125" s="125">
        <f t="shared" si="130"/>
        <v>586277184</v>
      </c>
      <c r="DG125" s="125">
        <f t="shared" si="130"/>
        <v>0</v>
      </c>
      <c r="DH125" s="125">
        <f t="shared" si="130"/>
        <v>75082063</v>
      </c>
      <c r="DI125" s="125">
        <f t="shared" si="130"/>
        <v>76352999</v>
      </c>
      <c r="DJ125" s="125">
        <f t="shared" si="130"/>
        <v>251373</v>
      </c>
      <c r="DK125" s="125">
        <f t="shared" si="130"/>
        <v>1093200409</v>
      </c>
      <c r="DM125" s="26">
        <f t="shared" si="123"/>
        <v>18846020368</v>
      </c>
      <c r="DN125" s="26">
        <f t="shared" si="124"/>
        <v>18846020368</v>
      </c>
      <c r="DO125" s="26">
        <f t="shared" ca="1" si="125"/>
        <v>18846020368</v>
      </c>
    </row>
    <row r="126" spans="1:120" x14ac:dyDescent="0.25">
      <c r="C126" s="121"/>
      <c r="D126" s="110" t="s">
        <v>249</v>
      </c>
      <c r="E126" s="127">
        <v>301</v>
      </c>
      <c r="F126" s="111"/>
      <c r="G126" s="112">
        <f>SUMIF($E$4:$E$113,"301",$G$4:$G$113)</f>
        <v>3178839833</v>
      </c>
      <c r="H126" s="113">
        <f>SUMIF($E$4:$E$113,"301",$H$4:$H$113)</f>
        <v>277739909</v>
      </c>
      <c r="I126" s="113">
        <f>SUMIF($E$4:$E$113,"301",$I$4:$I$113)</f>
        <v>714000000</v>
      </c>
      <c r="J126" s="112">
        <f>SUMIF($E$4:$E$113,"301",$J$4:$J$113)</f>
        <v>50000000</v>
      </c>
      <c r="K126" s="112">
        <f>SUMIF($E$4:$E$113,"301",$K$4:$K$113)</f>
        <v>26578511</v>
      </c>
      <c r="L126" s="111">
        <f>SUMIF($E$4:$E$113,"301",$L$4:$L$113)</f>
        <v>0</v>
      </c>
      <c r="M126" s="111">
        <f>SUMIF($E$4:$E$113,"301",$M$4:$M$113)</f>
        <v>0</v>
      </c>
      <c r="N126" s="111">
        <f>SUMIF($E$4:$E$113,"301",$N$4:$N$113)</f>
        <v>0</v>
      </c>
      <c r="O126" s="111">
        <f>SUMIF($E$4:$E$113,"301",$O$4:$O$113)</f>
        <v>0</v>
      </c>
      <c r="P126" s="111">
        <f>SUMIF($E$4:$E$113,"301",$P$4:$P$113)</f>
        <v>0</v>
      </c>
      <c r="Q126" s="111">
        <f>SUMIF($E$4:$E$113,"301",$Q$4:$Q$113)</f>
        <v>0</v>
      </c>
      <c r="R126" s="111">
        <f>SUMIF($E$4:$E$113,"301",$R$4:$R$113)</f>
        <v>0</v>
      </c>
      <c r="S126" s="111">
        <f>SUMIF($E$4:$E$113,"301",$S$4:$S$113)</f>
        <v>2213154</v>
      </c>
      <c r="T126" s="111">
        <f>SUMIF($E$4:$E$113,"301",$T$4:$T$113)</f>
        <v>230450000</v>
      </c>
      <c r="U126" s="111">
        <f>SUMIF($E$4:$E$113,"301",$U$4:$U$113)</f>
        <v>118000000</v>
      </c>
      <c r="V126" s="111">
        <f>SUMIF($E$4:$E$113,"301",$V$4:$V$113)</f>
        <v>80000000</v>
      </c>
      <c r="W126" s="111">
        <f>SUMIF($E$4:$E$106,"301",$W$4:$W$106)</f>
        <v>1570638184</v>
      </c>
      <c r="X126" s="111"/>
      <c r="Y126" s="111">
        <f>SUMIF($E$4:$E$106,"301",$Y$4:$Y$106)</f>
        <v>0</v>
      </c>
      <c r="Z126" s="111">
        <f>SUMIF($E$4:$E$113,"301",$Z$4:$Z$113)</f>
        <v>0</v>
      </c>
      <c r="AA126" s="111">
        <f>SUMIF($E$4:$E$113,"301",$AA$4:$AA$113)</f>
        <v>109220075</v>
      </c>
      <c r="AB126" s="114">
        <f t="shared" si="114"/>
        <v>0.94883593306224934</v>
      </c>
      <c r="AC126" s="25">
        <f>SUM(AD126:AW126)</f>
        <v>3016197459</v>
      </c>
      <c r="AD126" s="112">
        <f>SUMIF($E$4:$E$113,"301",$AD$4:$AD$113)</f>
        <v>261659011</v>
      </c>
      <c r="AE126" s="112">
        <f>SUMIF($E$4:$E$113,"301",$AE$4:$AE$113)</f>
        <v>713620873</v>
      </c>
      <c r="AF126" s="112">
        <f>SUMIF($E$4:$E$113,"301",$AF$4:$AF$113)</f>
        <v>50000000</v>
      </c>
      <c r="AG126" s="112">
        <f>SUMIF($E$4:$E$113,"301",$AG$4:$AG$113)</f>
        <v>18090667</v>
      </c>
      <c r="AH126" s="112">
        <f>SUMIF($E$4:$E$113,"301",$AH$4:$AH$113)</f>
        <v>0</v>
      </c>
      <c r="AI126" s="112">
        <f>SUMIF($E$4:$E$113,"301",$AI$4:$AI$113)</f>
        <v>0</v>
      </c>
      <c r="AJ126" s="112">
        <f>SUMIF($E$4:$E$113,"301",$AJ$4:$AJ$113)</f>
        <v>0</v>
      </c>
      <c r="AK126" s="112">
        <f>SUMIF($E$4:$E$113,"301",$AK$4:$AK$113)</f>
        <v>0</v>
      </c>
      <c r="AL126" s="112">
        <f>SUMIF($E$4:$E$113,"301",$AL$4:$AL$113)</f>
        <v>0</v>
      </c>
      <c r="AM126" s="112">
        <f>SUMIF($E$4:$E$113,"301",$AM$4:$AM$113)</f>
        <v>0</v>
      </c>
      <c r="AN126" s="112">
        <f>SUMIF($E$4:$E$113,"301",$AN$4:$AN$113)</f>
        <v>0</v>
      </c>
      <c r="AO126" s="112">
        <f>SUMIF($E$4:$E$113,"301",$AO$4:$AO$113)</f>
        <v>0</v>
      </c>
      <c r="AP126" s="112">
        <f>SUMIF($E$4:$E$113,"301",$AP$4:$AP$113)</f>
        <v>175958012</v>
      </c>
      <c r="AQ126" s="112">
        <f>SUMIF($E$4:$E$113,"301",$AQ$4:$AQ$113)</f>
        <v>118000000</v>
      </c>
      <c r="AR126" s="112">
        <f>SUMIF($E$4:$E$113,"301",$AR$4:$AR$113)</f>
        <v>80000000</v>
      </c>
      <c r="AS126" s="112">
        <f>SUMIF($E$4:$E$113,"301",$AS$4:$AS$113)</f>
        <v>1539781663</v>
      </c>
      <c r="AT126" s="112">
        <f>SUMIF($E$4:$E$113,"301",$AT$4:$AT$113)</f>
        <v>0</v>
      </c>
      <c r="AU126" s="112">
        <f>SUMIF($E$4:$E$113,"301",$AU$4:$AU$113)</f>
        <v>0</v>
      </c>
      <c r="AV126" s="112">
        <f>SUMIF($E$4:$E$113,"301",$AV$4:$AV$113)</f>
        <v>0</v>
      </c>
      <c r="AW126" s="112">
        <f>SUMIF($E$4:$E$113,"301",$AW$4:$AW$113)</f>
        <v>59087233</v>
      </c>
      <c r="AX126" s="97">
        <f t="shared" si="116"/>
        <v>5.1164066937750663E-2</v>
      </c>
      <c r="AY126" s="25">
        <f>SUM(AZ126:BS126)</f>
        <v>162642374</v>
      </c>
      <c r="AZ126" s="115">
        <f>SUMIF($E$4:$E$113,"301",$AZ$4:$AZ$113)</f>
        <v>16080898</v>
      </c>
      <c r="BA126" s="115">
        <f>SUMIF($E$4:$E$113,"301",$BA$4:$BA$113)</f>
        <v>379127</v>
      </c>
      <c r="BB126" s="115">
        <f>SUMIF($E$4:$E$113,"301",$BB$4:$BB$113)</f>
        <v>0</v>
      </c>
      <c r="BC126" s="115">
        <f>SUMIF($E$4:$E$113,"301",$BC$4:$BC$113)</f>
        <v>8487844</v>
      </c>
      <c r="BD126" s="115">
        <f>SUMIF($E$4:$E$113,"301",$BD$4:$BD$113)</f>
        <v>0</v>
      </c>
      <c r="BE126" s="115">
        <f>SUMIF($E$4:$E$113,"301",$BE$4:$BE$113)</f>
        <v>0</v>
      </c>
      <c r="BF126" s="115">
        <f>SUMIF($E$4:$E$113,"301",$BF$4:$BF$113)</f>
        <v>0</v>
      </c>
      <c r="BG126" s="115">
        <f>SUMIF($E$4:$E$113,"301",$BG$4:$BG$113)</f>
        <v>0</v>
      </c>
      <c r="BH126" s="115">
        <f>SUMIF($E$4:$E$113,"301",$BH$4:$BH$113)</f>
        <v>0</v>
      </c>
      <c r="BI126" s="115">
        <f>SUMIF($E$4:$E$113,"301",$BI$4:$BI$113)</f>
        <v>0</v>
      </c>
      <c r="BJ126" s="115">
        <f>SUMIF($E$4:$E$113,"301",$BJ$4:$BJ$113)</f>
        <v>0</v>
      </c>
      <c r="BK126" s="115">
        <f>SUMIF($E$4:$E$113,"301",$BK$4:$BK$113)</f>
        <v>2213154</v>
      </c>
      <c r="BL126" s="115">
        <f>SUMIF($E$4:$E$113,"301",$BL$4:$BL$113)</f>
        <v>54491988</v>
      </c>
      <c r="BM126" s="115">
        <f>SUMIF($E$4:$E$113,"301",$BM$4:$BM$113)</f>
        <v>0</v>
      </c>
      <c r="BN126" s="115">
        <f>SUMIF($E$4:$E$113,"301",$BN$4:$BN$113)</f>
        <v>0</v>
      </c>
      <c r="BO126" s="115">
        <f>SUMIF($E$4:$E$113,"301",$BO$4:$BO$113)</f>
        <v>30856521</v>
      </c>
      <c r="BP126" s="115"/>
      <c r="BQ126" s="115">
        <f>SUMIF($E$4:$E$113,"301",$BQ$4:$BQ$113)</f>
        <v>0</v>
      </c>
      <c r="BR126" s="115"/>
      <c r="BS126" s="116">
        <f>SUMIF($E$4:$E$113,"301",$BS$4:$BS$113)</f>
        <v>50132842</v>
      </c>
      <c r="BT126" s="117">
        <f t="shared" si="118"/>
        <v>0.89375412076636074</v>
      </c>
      <c r="BU126" s="25">
        <f>SUM(BV126:CO126)</f>
        <v>2841101200</v>
      </c>
      <c r="BV126" s="112">
        <f>SUMIF($E$4:$E$113,"301",$BV$4:$BV$113)</f>
        <v>236554614</v>
      </c>
      <c r="BW126" s="112">
        <f>SUMIF($E$4:$E$113,"301",$BW$4:$BW$113)</f>
        <v>711139881</v>
      </c>
      <c r="BX126" s="112">
        <f>SUMIF($E$4:$E$113,"301",$BX$4:$BX$113)</f>
        <v>37223653</v>
      </c>
      <c r="BY126" s="112">
        <f>SUMIF($E$4:$E$113,"301",$BY$4:$BY$113)</f>
        <v>18090667</v>
      </c>
      <c r="BZ126" s="112">
        <f>SUMIF($E$4:$E$113,"301",$BZ$4:$BZ$113)</f>
        <v>0</v>
      </c>
      <c r="CA126" s="112">
        <f>SUMIF($E$4:$E$113,"301",$CA$4:$CA$113)</f>
        <v>0</v>
      </c>
      <c r="CB126" s="112">
        <f>SUMIF($E$4:$E$113,"301",$CB$4:$CB$113)</f>
        <v>0</v>
      </c>
      <c r="CC126" s="112"/>
      <c r="CD126" s="112">
        <f>SUMIF($E$4:$E$113,"301",$CD$4:$CD$113)</f>
        <v>0</v>
      </c>
      <c r="CE126" s="112">
        <f>SUMIF($E$4:$E$113,"301",$CE$4:$CE$113)</f>
        <v>0</v>
      </c>
      <c r="CF126" s="112">
        <f>SUMIF($E$4:$E$113,"301",$CF$4:$CF$113)</f>
        <v>0</v>
      </c>
      <c r="CG126" s="112">
        <f>SUMIF($E$4:$E$113,"301",$CG$4:$CG$113)</f>
        <v>0</v>
      </c>
      <c r="CH126" s="112">
        <f>SUMIF($E$4:$E$113,"301",$CH$4:$CH$113)</f>
        <v>171014753</v>
      </c>
      <c r="CI126" s="112">
        <f>SUMIF($E$4:$E$113,"301",$CI$4:$CI$113)</f>
        <v>70634317</v>
      </c>
      <c r="CJ126" s="112">
        <f>SUMIF($E$4:$E$113,"301",$CJ$4:$CJ$113)</f>
        <v>3000000</v>
      </c>
      <c r="CK126" s="112">
        <f>SUMIF($E$4:$E$113,"301",$CK$4:$CK$113)</f>
        <v>1539700812</v>
      </c>
      <c r="CL126" s="112">
        <f>SUMIF($E$4:$E$113,"301",$CL$4:$CL$113)</f>
        <v>0</v>
      </c>
      <c r="CM126" s="112">
        <f>SUMIF($E$4:$E$113,"301",$CM$4:$CM$113)</f>
        <v>0</v>
      </c>
      <c r="CN126" s="112">
        <f>SUMIF($E$4:$E$113,"301",$CN$4:$CN$113)</f>
        <v>0</v>
      </c>
      <c r="CO126" s="118">
        <f>SUMIF($E$4:$E$113,"301",$CO$4:$CO$113)</f>
        <v>53742503</v>
      </c>
      <c r="CP126" s="23">
        <f t="shared" si="121"/>
        <v>0.10624587923363926</v>
      </c>
      <c r="CQ126" s="25">
        <f>SUM(CR126:DK126)</f>
        <v>337738633</v>
      </c>
      <c r="CR126" s="115">
        <f>SUMIF($E$4:$E$113,"301",$CR$4:$CR$113)</f>
        <v>41185295</v>
      </c>
      <c r="CS126" s="115">
        <f>SUMIF($E$4:$E$113,"301",$CS$4:$CS$113)</f>
        <v>2860119</v>
      </c>
      <c r="CT126" s="115">
        <f>SUMIF($E$4:$E$113,"301",$CT$4:$CT$113)</f>
        <v>12776347</v>
      </c>
      <c r="CU126" s="115">
        <f>SUMIF($E$4:$E$113,"301",$CU$4:$CU$113)</f>
        <v>8487844</v>
      </c>
      <c r="CV126" s="115">
        <f>SUMIF($E$4:$E$113,"301",$CV$4:$CV$113)</f>
        <v>0</v>
      </c>
      <c r="CW126" s="115">
        <f>SUMIF($E$4:$E$113,"301",$CW$4:$CW$113)</f>
        <v>0</v>
      </c>
      <c r="CX126" s="115">
        <f>SUMIF($E$4:$E$113,"301",$CX$4:$CX$113)</f>
        <v>0</v>
      </c>
      <c r="CY126" s="115">
        <f>SUMIF($E$4:$E$113,"301",$CY$4:$CY$113)</f>
        <v>0</v>
      </c>
      <c r="CZ126" s="119">
        <f>SUMIF($E$4:$E$113,"301",$CZ$4:$CZ$113)</f>
        <v>0</v>
      </c>
      <c r="DA126" s="119">
        <f>SUMIF($E$4:$E$113,"301",$DA$4:$DA$113)</f>
        <v>0</v>
      </c>
      <c r="DB126" s="119">
        <f>SUMIF($E$4:$E$113,"301",$DB$4:$DB$113)</f>
        <v>0</v>
      </c>
      <c r="DC126" s="119">
        <f>SUMIF($E$4:$E$113,"301",$DC$4:$DC$113)</f>
        <v>2213154</v>
      </c>
      <c r="DD126" s="119">
        <f>SUMIF($E$4:$E$113,"301",$DD$4:$DD$113)</f>
        <v>59435247</v>
      </c>
      <c r="DE126" s="119">
        <f>SUMIF($E$4:$E$113,"301",$DE$4:$DE$113)</f>
        <v>47365683</v>
      </c>
      <c r="DF126" s="119">
        <f>SUMIF($E$4:$E$113,"301",$DF$4:$DF$113)</f>
        <v>77000000</v>
      </c>
      <c r="DG126" s="119">
        <f>SUMIF($E$4:$E$113,"301",$DG$4:$DG$113)</f>
        <v>30937372</v>
      </c>
      <c r="DH126" s="119">
        <f>SUMIF($E$4:$E$113,"301",$DH$4:$DH$113)</f>
        <v>0</v>
      </c>
      <c r="DI126" s="119">
        <f>SUMIF($E$4:$E$113,"301",$DI$4:$DI$113)</f>
        <v>0</v>
      </c>
      <c r="DJ126" s="119">
        <f>SUMIF($E$4:$E$113,"301",$DJ$4:$DJ$113)</f>
        <v>0</v>
      </c>
      <c r="DK126" s="119">
        <f>SUMIF($E$4:$E$113,"301",$DK$4:$DK$113)</f>
        <v>55477572</v>
      </c>
      <c r="DM126" s="26">
        <f t="shared" si="123"/>
        <v>3178839833</v>
      </c>
      <c r="DN126" s="26">
        <f t="shared" si="124"/>
        <v>3178839833</v>
      </c>
      <c r="DO126" s="26">
        <f t="shared" si="125"/>
        <v>3178839833</v>
      </c>
    </row>
    <row r="127" spans="1:120" ht="15.75" thickBot="1" x14ac:dyDescent="0.3">
      <c r="C127" s="216" t="s">
        <v>364</v>
      </c>
      <c r="D127" s="217"/>
      <c r="E127" s="128"/>
      <c r="F127" s="129"/>
      <c r="G127" s="130">
        <f>SUM(G125:G126)</f>
        <v>22024860201</v>
      </c>
      <c r="H127" s="130">
        <f t="shared" ref="H127:AA127" si="131">SUM(H125:H126)</f>
        <v>459174006</v>
      </c>
      <c r="I127" s="130">
        <f t="shared" si="131"/>
        <v>2798954283</v>
      </c>
      <c r="J127" s="130">
        <f t="shared" si="131"/>
        <v>4000000000</v>
      </c>
      <c r="K127" s="130">
        <f t="shared" si="131"/>
        <v>2000547872</v>
      </c>
      <c r="L127" s="130">
        <f t="shared" si="131"/>
        <v>80883013</v>
      </c>
      <c r="M127" s="130">
        <f t="shared" si="131"/>
        <v>210796645</v>
      </c>
      <c r="N127" s="130">
        <f t="shared" si="131"/>
        <v>12004716</v>
      </c>
      <c r="O127" s="130">
        <f t="shared" si="131"/>
        <v>6840985</v>
      </c>
      <c r="P127" s="130">
        <f t="shared" si="131"/>
        <v>30665828</v>
      </c>
      <c r="Q127" s="130">
        <f t="shared" si="131"/>
        <v>1940856</v>
      </c>
      <c r="R127" s="130">
        <f t="shared" si="131"/>
        <v>135153822</v>
      </c>
      <c r="S127" s="130">
        <f t="shared" si="131"/>
        <v>4178203008</v>
      </c>
      <c r="T127" s="130">
        <f t="shared" si="131"/>
        <v>530450000</v>
      </c>
      <c r="U127" s="131">
        <f t="shared" si="131"/>
        <v>1071441613</v>
      </c>
      <c r="V127" s="130">
        <f t="shared" si="131"/>
        <v>1800354141</v>
      </c>
      <c r="W127" s="130">
        <f t="shared" si="131"/>
        <v>1570638184</v>
      </c>
      <c r="X127" s="130">
        <f t="shared" si="131"/>
        <v>119946741</v>
      </c>
      <c r="Y127" s="130">
        <f t="shared" si="131"/>
        <v>667371659</v>
      </c>
      <c r="Z127" s="130">
        <f t="shared" si="131"/>
        <v>33084973</v>
      </c>
      <c r="AA127" s="130">
        <f t="shared" si="131"/>
        <v>2316407856</v>
      </c>
      <c r="AB127" s="132">
        <f t="shared" si="114"/>
        <v>0.83440347690223238</v>
      </c>
      <c r="AC127" s="133">
        <f>AC125+AC126</f>
        <v>18377619930</v>
      </c>
      <c r="AD127" s="133">
        <f t="shared" ref="AD127:AW127" si="132">AD125+AD126</f>
        <v>443093108</v>
      </c>
      <c r="AE127" s="133">
        <f t="shared" si="132"/>
        <v>2645795199</v>
      </c>
      <c r="AF127" s="133">
        <f t="shared" si="132"/>
        <v>3359245909</v>
      </c>
      <c r="AG127" s="133">
        <f t="shared" si="132"/>
        <v>1886109367</v>
      </c>
      <c r="AH127" s="125">
        <f t="shared" si="127"/>
        <v>80883013</v>
      </c>
      <c r="AI127" s="125">
        <f t="shared" si="127"/>
        <v>11416500</v>
      </c>
      <c r="AJ127" s="125">
        <f t="shared" si="127"/>
        <v>12004716</v>
      </c>
      <c r="AK127" s="125">
        <f t="shared" si="127"/>
        <v>6840985</v>
      </c>
      <c r="AL127" s="133">
        <f t="shared" si="132"/>
        <v>30665828</v>
      </c>
      <c r="AM127" s="133">
        <f t="shared" si="132"/>
        <v>0</v>
      </c>
      <c r="AN127" s="133">
        <f t="shared" si="132"/>
        <v>135153822</v>
      </c>
      <c r="AO127" s="133">
        <f t="shared" si="132"/>
        <v>2951299250</v>
      </c>
      <c r="AP127" s="133">
        <f t="shared" si="132"/>
        <v>325413542</v>
      </c>
      <c r="AQ127" s="133">
        <f t="shared" si="132"/>
        <v>1029441613</v>
      </c>
      <c r="AR127" s="133">
        <f t="shared" si="132"/>
        <v>1565140669</v>
      </c>
      <c r="AS127" s="133">
        <f t="shared" si="132"/>
        <v>1539781663</v>
      </c>
      <c r="AT127" s="133">
        <f t="shared" si="132"/>
        <v>119946741</v>
      </c>
      <c r="AU127" s="133">
        <f t="shared" si="132"/>
        <v>667371659</v>
      </c>
      <c r="AV127" s="133">
        <f t="shared" si="132"/>
        <v>33084973</v>
      </c>
      <c r="AW127" s="133">
        <f t="shared" si="132"/>
        <v>1534931373</v>
      </c>
      <c r="AX127" s="97">
        <f t="shared" si="116"/>
        <v>0.16559652309776762</v>
      </c>
      <c r="AY127" s="133">
        <f>AY125+AY126</f>
        <v>3647240271</v>
      </c>
      <c r="AZ127" s="133">
        <f>AZ125+AZ126</f>
        <v>16080898</v>
      </c>
      <c r="BA127" s="134">
        <f t="shared" ref="BA127:BS127" si="133">+BA125+BA126</f>
        <v>153159084</v>
      </c>
      <c r="BB127" s="134">
        <f t="shared" si="133"/>
        <v>640754091</v>
      </c>
      <c r="BC127" s="134">
        <f t="shared" si="133"/>
        <v>114438505</v>
      </c>
      <c r="BD127" s="134">
        <f t="shared" si="133"/>
        <v>0</v>
      </c>
      <c r="BE127" s="134">
        <f t="shared" si="133"/>
        <v>199380145</v>
      </c>
      <c r="BF127" s="134">
        <f t="shared" si="133"/>
        <v>0</v>
      </c>
      <c r="BG127" s="134">
        <f>+BG125+BG126</f>
        <v>0</v>
      </c>
      <c r="BH127" s="134">
        <f>+BH125+BH126</f>
        <v>0</v>
      </c>
      <c r="BI127" s="134">
        <f t="shared" si="133"/>
        <v>1940856</v>
      </c>
      <c r="BJ127" s="134">
        <f t="shared" si="133"/>
        <v>0</v>
      </c>
      <c r="BK127" s="134">
        <f t="shared" si="133"/>
        <v>1226903758</v>
      </c>
      <c r="BL127" s="134">
        <f t="shared" si="133"/>
        <v>205036458</v>
      </c>
      <c r="BM127" s="134">
        <f t="shared" si="133"/>
        <v>42000000</v>
      </c>
      <c r="BN127" s="134">
        <f t="shared" si="133"/>
        <v>235213472</v>
      </c>
      <c r="BO127" s="134">
        <f t="shared" si="133"/>
        <v>30856521</v>
      </c>
      <c r="BP127" s="134">
        <f t="shared" si="133"/>
        <v>0</v>
      </c>
      <c r="BQ127" s="134">
        <f t="shared" si="133"/>
        <v>0</v>
      </c>
      <c r="BR127" s="134">
        <f t="shared" si="133"/>
        <v>0</v>
      </c>
      <c r="BS127" s="134">
        <f t="shared" si="133"/>
        <v>781476483</v>
      </c>
      <c r="BT127" s="135">
        <f t="shared" si="118"/>
        <v>0.65143105754417319</v>
      </c>
      <c r="BU127" s="136">
        <f>+BU125+BU126</f>
        <v>14347677973</v>
      </c>
      <c r="BV127" s="134">
        <f>+BV125+BV126</f>
        <v>236554614</v>
      </c>
      <c r="BW127" s="134">
        <f>+BW125+BW126</f>
        <v>2391815929</v>
      </c>
      <c r="BX127" s="134">
        <f>+BX125+BX126</f>
        <v>2483307200</v>
      </c>
      <c r="BY127" s="134">
        <f>+BY125+BY126</f>
        <v>1185985714</v>
      </c>
      <c r="BZ127" s="130">
        <f t="shared" ref="BZ127:CO127" si="134">SUM(BZ125:BZ126)</f>
        <v>7736670</v>
      </c>
      <c r="CA127" s="130">
        <f t="shared" si="134"/>
        <v>11416500</v>
      </c>
      <c r="CB127" s="130">
        <f t="shared" si="134"/>
        <v>12004716</v>
      </c>
      <c r="CC127" s="130">
        <f t="shared" si="134"/>
        <v>6840985</v>
      </c>
      <c r="CD127" s="130">
        <f t="shared" si="134"/>
        <v>30665828</v>
      </c>
      <c r="CE127" s="130">
        <f t="shared" si="134"/>
        <v>0</v>
      </c>
      <c r="CF127" s="130">
        <f t="shared" si="134"/>
        <v>10153894</v>
      </c>
      <c r="CG127" s="130">
        <f t="shared" si="134"/>
        <v>2680257182</v>
      </c>
      <c r="CH127" s="130">
        <f t="shared" si="134"/>
        <v>320470283</v>
      </c>
      <c r="CI127" s="130">
        <f t="shared" si="134"/>
        <v>457243876</v>
      </c>
      <c r="CJ127" s="130">
        <f t="shared" si="134"/>
        <v>1137076957</v>
      </c>
      <c r="CK127" s="130">
        <f t="shared" si="134"/>
        <v>1539700812</v>
      </c>
      <c r="CL127" s="130">
        <f t="shared" si="134"/>
        <v>44864678</v>
      </c>
      <c r="CM127" s="130">
        <f t="shared" si="134"/>
        <v>591018660</v>
      </c>
      <c r="CN127" s="130">
        <f t="shared" si="134"/>
        <v>32833600</v>
      </c>
      <c r="CO127" s="137">
        <f t="shared" si="134"/>
        <v>1167729875</v>
      </c>
      <c r="CP127" s="138">
        <f t="shared" si="121"/>
        <v>0.34856894245582681</v>
      </c>
      <c r="CQ127" s="130">
        <f t="shared" ref="CQ127:DK127" ca="1" si="135">SUM(CQ125:CQ126)</f>
        <v>7677182228</v>
      </c>
      <c r="CR127" s="137">
        <f t="shared" ca="1" si="135"/>
        <v>222619392</v>
      </c>
      <c r="CS127" s="137">
        <f t="shared" si="135"/>
        <v>407138354</v>
      </c>
      <c r="CT127" s="137">
        <f t="shared" si="135"/>
        <v>1516692800</v>
      </c>
      <c r="CU127" s="137">
        <f t="shared" si="135"/>
        <v>814562158</v>
      </c>
      <c r="CV127" s="130">
        <f t="shared" si="135"/>
        <v>73146343</v>
      </c>
      <c r="CW127" s="130">
        <f t="shared" si="135"/>
        <v>199380145</v>
      </c>
      <c r="CX127" s="130">
        <f t="shared" si="135"/>
        <v>0</v>
      </c>
      <c r="CY127" s="130">
        <f t="shared" si="135"/>
        <v>0</v>
      </c>
      <c r="CZ127" s="139">
        <f t="shared" si="135"/>
        <v>0</v>
      </c>
      <c r="DA127" s="139">
        <f t="shared" si="135"/>
        <v>1940856</v>
      </c>
      <c r="DB127" s="139">
        <f t="shared" si="135"/>
        <v>124999928</v>
      </c>
      <c r="DC127" s="139">
        <f t="shared" si="135"/>
        <v>1497945826</v>
      </c>
      <c r="DD127" s="139">
        <f t="shared" si="135"/>
        <v>209979717</v>
      </c>
      <c r="DE127" s="139">
        <f t="shared" si="135"/>
        <v>614197737</v>
      </c>
      <c r="DF127" s="139">
        <f t="shared" si="135"/>
        <v>663277184</v>
      </c>
      <c r="DG127" s="139">
        <f t="shared" si="135"/>
        <v>30937372</v>
      </c>
      <c r="DH127" s="139">
        <f t="shared" si="135"/>
        <v>75082063</v>
      </c>
      <c r="DI127" s="139">
        <f t="shared" si="135"/>
        <v>76352999</v>
      </c>
      <c r="DJ127" s="139">
        <f t="shared" si="135"/>
        <v>251373</v>
      </c>
      <c r="DK127" s="139">
        <f t="shared" si="135"/>
        <v>1148677981</v>
      </c>
      <c r="DM127" s="26">
        <f t="shared" si="123"/>
        <v>22024860201</v>
      </c>
      <c r="DN127" s="26">
        <f t="shared" si="124"/>
        <v>22024860201</v>
      </c>
      <c r="DO127" s="26">
        <f t="shared" ca="1" si="125"/>
        <v>22024860201</v>
      </c>
    </row>
    <row r="128" spans="1:120" ht="15.75" thickTop="1" x14ac:dyDescent="0.25">
      <c r="G128" s="35">
        <f>+G116-G127</f>
        <v>0</v>
      </c>
      <c r="H128" s="35">
        <f t="shared" ref="H128:X128" si="136">+H116-H127</f>
        <v>0</v>
      </c>
      <c r="I128" s="35">
        <f t="shared" si="136"/>
        <v>0</v>
      </c>
      <c r="J128" s="35">
        <f t="shared" si="136"/>
        <v>0</v>
      </c>
      <c r="K128" s="35">
        <f t="shared" si="136"/>
        <v>0</v>
      </c>
      <c r="L128" s="35">
        <f t="shared" si="136"/>
        <v>0</v>
      </c>
      <c r="M128" s="35">
        <f t="shared" si="136"/>
        <v>0</v>
      </c>
      <c r="N128" s="35">
        <f t="shared" si="136"/>
        <v>0</v>
      </c>
      <c r="O128" s="35">
        <f t="shared" si="136"/>
        <v>0</v>
      </c>
      <c r="P128" s="35">
        <f t="shared" si="136"/>
        <v>0</v>
      </c>
      <c r="Q128" s="35">
        <f t="shared" si="136"/>
        <v>0</v>
      </c>
      <c r="R128" s="35">
        <f t="shared" si="136"/>
        <v>0</v>
      </c>
      <c r="S128" s="35">
        <f t="shared" si="136"/>
        <v>0</v>
      </c>
      <c r="T128" s="35">
        <f t="shared" si="136"/>
        <v>0</v>
      </c>
      <c r="U128" s="35">
        <f t="shared" si="136"/>
        <v>0</v>
      </c>
      <c r="V128" s="35">
        <f t="shared" si="136"/>
        <v>0</v>
      </c>
      <c r="W128" s="35">
        <f t="shared" si="136"/>
        <v>0</v>
      </c>
      <c r="X128" s="35">
        <f t="shared" si="136"/>
        <v>0</v>
      </c>
      <c r="Y128" s="35">
        <f>+Y116-Y127</f>
        <v>0</v>
      </c>
      <c r="Z128" s="35">
        <f>+Z116-Z127</f>
        <v>0</v>
      </c>
      <c r="AA128" s="35">
        <f>+AA116-AA127</f>
        <v>0</v>
      </c>
      <c r="AC128" s="35">
        <f t="shared" ref="AC128:AT128" si="137">+AC116-AC127</f>
        <v>0</v>
      </c>
      <c r="AD128" s="35">
        <f t="shared" si="137"/>
        <v>0</v>
      </c>
      <c r="AE128" s="35">
        <f t="shared" si="137"/>
        <v>0</v>
      </c>
      <c r="AF128" s="35">
        <f t="shared" si="137"/>
        <v>0</v>
      </c>
      <c r="AG128" s="35">
        <f t="shared" si="137"/>
        <v>0</v>
      </c>
      <c r="AH128" s="35">
        <f t="shared" si="137"/>
        <v>0</v>
      </c>
      <c r="AI128" s="35">
        <f t="shared" si="137"/>
        <v>0</v>
      </c>
      <c r="AJ128" s="35">
        <f t="shared" si="137"/>
        <v>0</v>
      </c>
      <c r="AK128" s="35">
        <f t="shared" si="137"/>
        <v>0</v>
      </c>
      <c r="AL128" s="35">
        <f t="shared" si="137"/>
        <v>0</v>
      </c>
      <c r="AM128" s="35">
        <f t="shared" si="137"/>
        <v>0</v>
      </c>
      <c r="AN128" s="35">
        <f t="shared" si="137"/>
        <v>0</v>
      </c>
      <c r="AO128" s="35">
        <f t="shared" si="137"/>
        <v>0</v>
      </c>
      <c r="AP128" s="35">
        <f t="shared" si="137"/>
        <v>0</v>
      </c>
      <c r="AQ128" s="35">
        <f t="shared" si="137"/>
        <v>0</v>
      </c>
      <c r="AR128" s="35">
        <f t="shared" si="137"/>
        <v>0</v>
      </c>
      <c r="AS128" s="35">
        <f t="shared" si="137"/>
        <v>0</v>
      </c>
      <c r="AT128" s="35">
        <f t="shared" si="137"/>
        <v>0</v>
      </c>
      <c r="AU128" s="35">
        <f>+AU116-AU127</f>
        <v>0</v>
      </c>
      <c r="AV128" s="35">
        <f>+AV116-AV127</f>
        <v>0</v>
      </c>
      <c r="AW128" s="35">
        <f>+AW116-AW127</f>
        <v>0</v>
      </c>
      <c r="AY128" s="35">
        <f>+AY116-AY127</f>
        <v>0</v>
      </c>
      <c r="AZ128" s="35">
        <f t="shared" ref="AZ128:BO128" si="138">+AZ116-AZ127</f>
        <v>0</v>
      </c>
      <c r="BA128" s="35">
        <f t="shared" si="138"/>
        <v>0</v>
      </c>
      <c r="BB128" s="35">
        <f t="shared" si="138"/>
        <v>0</v>
      </c>
      <c r="BC128" s="35">
        <f t="shared" si="138"/>
        <v>0</v>
      </c>
      <c r="BD128" s="35">
        <f t="shared" si="138"/>
        <v>0</v>
      </c>
      <c r="BE128" s="35">
        <f t="shared" si="138"/>
        <v>0</v>
      </c>
      <c r="BF128" s="35">
        <f t="shared" si="138"/>
        <v>0</v>
      </c>
      <c r="BG128" s="35">
        <f t="shared" si="138"/>
        <v>0</v>
      </c>
      <c r="BH128" s="35">
        <f t="shared" si="138"/>
        <v>0</v>
      </c>
      <c r="BI128" s="35">
        <f t="shared" si="138"/>
        <v>0</v>
      </c>
      <c r="BJ128" s="35">
        <f t="shared" si="138"/>
        <v>0</v>
      </c>
      <c r="BK128" s="35">
        <f t="shared" si="138"/>
        <v>0</v>
      </c>
      <c r="BL128" s="35">
        <f t="shared" si="138"/>
        <v>0</v>
      </c>
      <c r="BM128" s="35">
        <f t="shared" si="138"/>
        <v>0</v>
      </c>
      <c r="BN128" s="35">
        <f t="shared" si="138"/>
        <v>0</v>
      </c>
      <c r="BO128" s="35">
        <f t="shared" si="138"/>
        <v>0</v>
      </c>
      <c r="BP128" s="35"/>
      <c r="BQ128" s="35">
        <f>+BQ116-BQ127</f>
        <v>0</v>
      </c>
      <c r="BR128" s="35">
        <f>+BR116-BR127</f>
        <v>0</v>
      </c>
      <c r="BS128" s="35">
        <f>+BS116-BS127</f>
        <v>0</v>
      </c>
      <c r="BU128" s="35">
        <f>+BU116-BU127</f>
        <v>0</v>
      </c>
      <c r="BV128" s="35">
        <f t="shared" ref="BV128:CO128" si="139">+BV116-BV127</f>
        <v>0</v>
      </c>
      <c r="BW128" s="35">
        <f t="shared" si="139"/>
        <v>0</v>
      </c>
      <c r="BX128" s="35">
        <f t="shared" si="139"/>
        <v>0</v>
      </c>
      <c r="BY128" s="35">
        <f t="shared" si="139"/>
        <v>0</v>
      </c>
      <c r="BZ128" s="35">
        <f t="shared" si="139"/>
        <v>0</v>
      </c>
      <c r="CA128" s="35">
        <f t="shared" si="139"/>
        <v>0</v>
      </c>
      <c r="CB128" s="35">
        <f t="shared" si="139"/>
        <v>0</v>
      </c>
      <c r="CC128" s="35">
        <f t="shared" si="139"/>
        <v>0</v>
      </c>
      <c r="CD128" s="35">
        <f t="shared" si="139"/>
        <v>0</v>
      </c>
      <c r="CE128" s="35">
        <f t="shared" si="139"/>
        <v>0</v>
      </c>
      <c r="CF128" s="35">
        <f t="shared" si="139"/>
        <v>0</v>
      </c>
      <c r="CG128" s="35">
        <f t="shared" si="139"/>
        <v>0</v>
      </c>
      <c r="CH128" s="35">
        <f t="shared" si="139"/>
        <v>0</v>
      </c>
      <c r="CI128" s="35">
        <f t="shared" si="139"/>
        <v>0</v>
      </c>
      <c r="CJ128" s="35">
        <f t="shared" si="139"/>
        <v>0</v>
      </c>
      <c r="CK128" s="35">
        <f t="shared" si="139"/>
        <v>0</v>
      </c>
      <c r="CL128" s="35">
        <f t="shared" si="139"/>
        <v>0</v>
      </c>
      <c r="CM128" s="35">
        <f t="shared" si="139"/>
        <v>0</v>
      </c>
      <c r="CN128" s="35">
        <f t="shared" si="139"/>
        <v>0</v>
      </c>
      <c r="CO128" s="35">
        <f t="shared" si="139"/>
        <v>0</v>
      </c>
      <c r="CP128" s="35"/>
      <c r="CQ128" s="35">
        <f ca="1">+CQ116-CQ127</f>
        <v>0</v>
      </c>
      <c r="CR128" s="35">
        <f t="shared" ref="CR128:DK128" ca="1" si="140">+CR116-CR127</f>
        <v>0</v>
      </c>
      <c r="CS128" s="35">
        <f t="shared" si="140"/>
        <v>0</v>
      </c>
      <c r="CT128" s="35">
        <f t="shared" si="140"/>
        <v>0</v>
      </c>
      <c r="CU128" s="35">
        <f t="shared" si="140"/>
        <v>0</v>
      </c>
      <c r="CV128" s="35">
        <f t="shared" si="140"/>
        <v>0</v>
      </c>
      <c r="CW128" s="35">
        <f t="shared" si="140"/>
        <v>0</v>
      </c>
      <c r="CX128" s="35">
        <f t="shared" si="140"/>
        <v>0</v>
      </c>
      <c r="CY128" s="35">
        <f t="shared" si="140"/>
        <v>0</v>
      </c>
      <c r="CZ128" s="35">
        <f t="shared" si="140"/>
        <v>0</v>
      </c>
      <c r="DA128" s="35">
        <f t="shared" si="140"/>
        <v>0</v>
      </c>
      <c r="DB128" s="35">
        <f t="shared" si="140"/>
        <v>0</v>
      </c>
      <c r="DC128" s="35">
        <f t="shared" si="140"/>
        <v>0</v>
      </c>
      <c r="DD128" s="35">
        <f t="shared" si="140"/>
        <v>0</v>
      </c>
      <c r="DE128" s="35">
        <f t="shared" si="140"/>
        <v>0</v>
      </c>
      <c r="DF128" s="35">
        <f t="shared" si="140"/>
        <v>0</v>
      </c>
      <c r="DG128" s="35">
        <f t="shared" si="140"/>
        <v>0</v>
      </c>
      <c r="DH128" s="35">
        <f t="shared" si="140"/>
        <v>0</v>
      </c>
      <c r="DI128" s="35">
        <f t="shared" si="140"/>
        <v>0</v>
      </c>
      <c r="DJ128" s="35">
        <f t="shared" si="140"/>
        <v>0</v>
      </c>
      <c r="DK128" s="35">
        <f t="shared" si="140"/>
        <v>0</v>
      </c>
    </row>
    <row r="129" spans="3:73" x14ac:dyDescent="0.25">
      <c r="C129" s="140"/>
      <c r="D129" s="140"/>
      <c r="E129" s="141"/>
      <c r="F129" s="142"/>
      <c r="G129" s="143"/>
      <c r="AR129" s="35"/>
    </row>
    <row r="131" spans="3:73" x14ac:dyDescent="0.25">
      <c r="AC131" s="35">
        <f>+AC127+AY127</f>
        <v>22024860201</v>
      </c>
      <c r="BU131" s="35">
        <f ca="1">+BU127+CQ127</f>
        <v>22024860201</v>
      </c>
    </row>
    <row r="132" spans="3:73" x14ac:dyDescent="0.25">
      <c r="D132" s="35"/>
    </row>
  </sheetData>
  <mergeCells count="58">
    <mergeCell ref="A108:A113"/>
    <mergeCell ref="B108:B111"/>
    <mergeCell ref="B114:D114"/>
    <mergeCell ref="C116:E116"/>
    <mergeCell ref="C127:D127"/>
    <mergeCell ref="A80:A93"/>
    <mergeCell ref="B80:B86"/>
    <mergeCell ref="B90:B92"/>
    <mergeCell ref="B94:F94"/>
    <mergeCell ref="A95:A106"/>
    <mergeCell ref="B95:B97"/>
    <mergeCell ref="B98:B99"/>
    <mergeCell ref="B100:B106"/>
    <mergeCell ref="B79:F79"/>
    <mergeCell ref="A49:A56"/>
    <mergeCell ref="B49:B50"/>
    <mergeCell ref="B51:B56"/>
    <mergeCell ref="B57:E57"/>
    <mergeCell ref="A58:A67"/>
    <mergeCell ref="B58:B60"/>
    <mergeCell ref="B62:B67"/>
    <mergeCell ref="A68:A72"/>
    <mergeCell ref="B69:B71"/>
    <mergeCell ref="A73:A78"/>
    <mergeCell ref="B73:B74"/>
    <mergeCell ref="B75:B78"/>
    <mergeCell ref="B21:B22"/>
    <mergeCell ref="B24:E24"/>
    <mergeCell ref="B25:B27"/>
    <mergeCell ref="B30:B38"/>
    <mergeCell ref="A39:A46"/>
    <mergeCell ref="B39:B41"/>
    <mergeCell ref="B43:B44"/>
    <mergeCell ref="B45:B46"/>
    <mergeCell ref="CQ2:DA2"/>
    <mergeCell ref="DB2:DK2"/>
    <mergeCell ref="B4:B6"/>
    <mergeCell ref="B8:B11"/>
    <mergeCell ref="B17:B18"/>
    <mergeCell ref="BV2:CF2"/>
    <mergeCell ref="CI2:CO2"/>
    <mergeCell ref="B19:B20"/>
    <mergeCell ref="G2:AA2"/>
    <mergeCell ref="AC2:AW2"/>
    <mergeCell ref="AZ2:BI2"/>
    <mergeCell ref="BJ2:BS2"/>
    <mergeCell ref="F2:F3"/>
    <mergeCell ref="A2:A3"/>
    <mergeCell ref="B2:B3"/>
    <mergeCell ref="C2:C3"/>
    <mergeCell ref="D2:D3"/>
    <mergeCell ref="E2:E3"/>
    <mergeCell ref="CQ1:DK1"/>
    <mergeCell ref="C1:F1"/>
    <mergeCell ref="G1:AA1"/>
    <mergeCell ref="AC1:AW1"/>
    <mergeCell ref="AZ1:BT1"/>
    <mergeCell ref="BU1:CO1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0152 DEL 23 DE JUNIO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2"/>
  <sheetViews>
    <sheetView showGridLines="0" zoomScaleNormal="100" zoomScalePageLayoutView="50" workbookViewId="0">
      <pane xSplit="3" ySplit="3" topLeftCell="D4" activePane="bottomRight" state="frozen"/>
      <selection activeCell="Z102" sqref="Z102"/>
      <selection pane="topRight" activeCell="Z102" sqref="Z102"/>
      <selection pane="bottomLeft" activeCell="Z102" sqref="Z102"/>
      <selection pane="bottomRight" activeCell="D4" sqref="D4"/>
    </sheetView>
  </sheetViews>
  <sheetFormatPr baseColWidth="10" defaultRowHeight="15" x14ac:dyDescent="0.25"/>
  <cols>
    <col min="1" max="1" width="4.85546875" customWidth="1"/>
    <col min="2" max="2" width="23" customWidth="1"/>
    <col min="3" max="3" width="8.7109375" bestFit="1" customWidth="1"/>
    <col min="4" max="4" width="54.85546875" customWidth="1"/>
    <col min="5" max="5" width="6.28515625" customWidth="1"/>
    <col min="6" max="6" width="14.28515625" customWidth="1"/>
    <col min="7" max="7" width="15.5703125" customWidth="1"/>
    <col min="8" max="8" width="13.42578125" hidden="1" customWidth="1"/>
    <col min="9" max="9" width="14.42578125" hidden="1" customWidth="1"/>
    <col min="10" max="10" width="14.7109375" hidden="1" customWidth="1"/>
    <col min="11" max="11" width="14.42578125" hidden="1" customWidth="1"/>
    <col min="12" max="12" width="12.28515625" hidden="1" customWidth="1"/>
    <col min="13" max="13" width="13.140625" hidden="1" customWidth="1"/>
    <col min="14" max="14" width="11.28515625" hidden="1" customWidth="1"/>
    <col min="15" max="15" width="9.140625" hidden="1" customWidth="1"/>
    <col min="16" max="16" width="10.140625" hidden="1" customWidth="1"/>
    <col min="17" max="17" width="10.7109375" hidden="1" customWidth="1"/>
    <col min="18" max="18" width="11.140625" hidden="1" customWidth="1"/>
    <col min="19" max="19" width="12.7109375" hidden="1" customWidth="1"/>
    <col min="20" max="20" width="11.140625" hidden="1" customWidth="1"/>
    <col min="21" max="21" width="12" hidden="1" customWidth="1"/>
    <col min="22" max="22" width="12.7109375" hidden="1" customWidth="1"/>
    <col min="23" max="23" width="13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2.7109375" hidden="1" customWidth="1"/>
    <col min="28" max="28" width="8.28515625" customWidth="1"/>
    <col min="29" max="29" width="14.7109375" bestFit="1" customWidth="1"/>
    <col min="30" max="30" width="13.5703125" hidden="1" customWidth="1"/>
    <col min="31" max="31" width="14" hidden="1" customWidth="1"/>
    <col min="32" max="32" width="17.28515625" hidden="1" customWidth="1"/>
    <col min="33" max="33" width="14.57031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70" width="16.5703125" hidden="1" customWidth="1"/>
    <col min="71" max="71" width="14" hidden="1" customWidth="1"/>
    <col min="72" max="72" width="10.28515625" customWidth="1"/>
    <col min="73" max="73" width="14.7109375" bestFit="1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3.710937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5" customWidth="1"/>
    <col min="96" max="96" width="13.7109375" hidden="1" customWidth="1"/>
    <col min="97" max="97" width="14.42578125" hidden="1" customWidth="1"/>
    <col min="98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5.140625" customWidth="1"/>
    <col min="117" max="119" width="14.7109375" bestFit="1" customWidth="1"/>
    <col min="120" max="120" width="2.140625" bestFit="1" customWidth="1"/>
  </cols>
  <sheetData>
    <row r="1" spans="1:121" ht="15" customHeight="1" x14ac:dyDescent="0.25">
      <c r="C1" s="157" t="s">
        <v>0</v>
      </c>
      <c r="D1" s="157"/>
      <c r="E1" s="157"/>
      <c r="F1" s="157"/>
      <c r="G1" s="227" t="s">
        <v>11</v>
      </c>
      <c r="H1" s="227" t="s">
        <v>11</v>
      </c>
      <c r="I1" s="227" t="s">
        <v>11</v>
      </c>
      <c r="J1" s="227" t="s">
        <v>11</v>
      </c>
      <c r="K1" s="227" t="s">
        <v>11</v>
      </c>
      <c r="L1" s="227" t="s">
        <v>11</v>
      </c>
      <c r="M1" s="227" t="s">
        <v>11</v>
      </c>
      <c r="N1" s="227" t="s">
        <v>11</v>
      </c>
      <c r="O1" s="227" t="s">
        <v>11</v>
      </c>
      <c r="P1" s="227" t="s">
        <v>11</v>
      </c>
      <c r="Q1" s="227" t="s">
        <v>11</v>
      </c>
      <c r="R1" s="227" t="s">
        <v>11</v>
      </c>
      <c r="S1" s="227" t="s">
        <v>11</v>
      </c>
      <c r="T1" s="227" t="s">
        <v>11</v>
      </c>
      <c r="U1" s="227" t="s">
        <v>11</v>
      </c>
      <c r="V1" s="227" t="s">
        <v>11</v>
      </c>
      <c r="W1" s="227" t="s">
        <v>11</v>
      </c>
      <c r="X1" s="227" t="s">
        <v>11</v>
      </c>
      <c r="Y1" s="227" t="s">
        <v>11</v>
      </c>
      <c r="Z1" s="227" t="s">
        <v>11</v>
      </c>
      <c r="AA1" s="227" t="s">
        <v>11</v>
      </c>
      <c r="AB1" s="222" t="s">
        <v>365</v>
      </c>
      <c r="AC1" s="222"/>
      <c r="AD1" s="222" t="s">
        <v>365</v>
      </c>
      <c r="AE1" s="222"/>
      <c r="AF1" s="222" t="s">
        <v>365</v>
      </c>
      <c r="AG1" s="222"/>
      <c r="AH1" s="222" t="s">
        <v>365</v>
      </c>
      <c r="AI1" s="222"/>
      <c r="AJ1" s="222" t="s">
        <v>365</v>
      </c>
      <c r="AK1" s="222"/>
      <c r="AL1" s="222" t="s">
        <v>365</v>
      </c>
      <c r="AM1" s="222"/>
      <c r="AN1" s="222" t="s">
        <v>365</v>
      </c>
      <c r="AO1" s="222"/>
      <c r="AP1" s="222" t="s">
        <v>365</v>
      </c>
      <c r="AQ1" s="222"/>
      <c r="AR1" s="222" t="s">
        <v>365</v>
      </c>
      <c r="AS1" s="222"/>
      <c r="AT1" s="222" t="s">
        <v>365</v>
      </c>
      <c r="AU1" s="222"/>
      <c r="AV1" s="222" t="s">
        <v>365</v>
      </c>
      <c r="AW1" s="222"/>
      <c r="AX1" s="223" t="s">
        <v>367</v>
      </c>
      <c r="AY1" s="224"/>
      <c r="AZ1" s="222" t="s">
        <v>368</v>
      </c>
      <c r="BA1" s="222"/>
      <c r="BB1" s="222" t="s">
        <v>368</v>
      </c>
      <c r="BC1" s="222"/>
      <c r="BD1" s="222" t="s">
        <v>368</v>
      </c>
      <c r="BE1" s="222"/>
      <c r="BF1" s="222" t="s">
        <v>368</v>
      </c>
      <c r="BG1" s="222"/>
      <c r="BH1" s="222" t="s">
        <v>368</v>
      </c>
      <c r="BI1" s="222"/>
      <c r="BJ1" s="222" t="s">
        <v>368</v>
      </c>
      <c r="BK1" s="222"/>
      <c r="BL1" s="222" t="s">
        <v>368</v>
      </c>
      <c r="BM1" s="222"/>
      <c r="BN1" s="222" t="s">
        <v>368</v>
      </c>
      <c r="BO1" s="222"/>
      <c r="BP1" s="222" t="s">
        <v>368</v>
      </c>
      <c r="BQ1" s="222"/>
      <c r="BR1" s="222" t="s">
        <v>368</v>
      </c>
      <c r="BS1" s="222"/>
      <c r="BT1" s="222" t="s">
        <v>368</v>
      </c>
      <c r="BU1" s="222"/>
      <c r="BV1" s="222" t="s">
        <v>368</v>
      </c>
      <c r="BW1" s="222"/>
      <c r="BX1" s="222" t="s">
        <v>368</v>
      </c>
      <c r="BY1" s="222"/>
      <c r="BZ1" s="222" t="s">
        <v>368</v>
      </c>
      <c r="CA1" s="222"/>
      <c r="CB1" s="222" t="s">
        <v>368</v>
      </c>
      <c r="CC1" s="222"/>
      <c r="CD1" s="222" t="s">
        <v>368</v>
      </c>
      <c r="CE1" s="222"/>
      <c r="CF1" s="222" t="s">
        <v>368</v>
      </c>
      <c r="CG1" s="222"/>
      <c r="CH1" s="222" t="s">
        <v>368</v>
      </c>
      <c r="CI1" s="222"/>
      <c r="CJ1" s="222" t="s">
        <v>368</v>
      </c>
      <c r="CK1" s="222"/>
      <c r="CL1" s="222" t="s">
        <v>368</v>
      </c>
      <c r="CM1" s="222"/>
      <c r="CN1" s="222" t="s">
        <v>368</v>
      </c>
      <c r="CO1" s="222"/>
      <c r="CP1" s="218" t="s">
        <v>369</v>
      </c>
      <c r="CQ1" s="219"/>
      <c r="CR1" s="218" t="s">
        <v>369</v>
      </c>
      <c r="CS1" s="219"/>
      <c r="CT1" s="218" t="s">
        <v>369</v>
      </c>
      <c r="CU1" s="219"/>
      <c r="CV1" s="218" t="s">
        <v>369</v>
      </c>
      <c r="CW1" s="219"/>
      <c r="CX1" s="218" t="s">
        <v>369</v>
      </c>
      <c r="CY1" s="219"/>
      <c r="CZ1" s="218" t="s">
        <v>369</v>
      </c>
      <c r="DA1" s="219"/>
      <c r="DB1" s="218" t="s">
        <v>369</v>
      </c>
      <c r="DC1" s="219"/>
      <c r="DD1" s="218" t="s">
        <v>369</v>
      </c>
      <c r="DE1" s="219"/>
      <c r="DF1" s="218" t="s">
        <v>369</v>
      </c>
      <c r="DG1" s="219"/>
      <c r="DH1" s="218" t="s">
        <v>369</v>
      </c>
      <c r="DI1" s="219"/>
      <c r="DJ1" s="218" t="s">
        <v>369</v>
      </c>
      <c r="DK1" s="219"/>
    </row>
    <row r="2" spans="1:121" ht="26.25" customHeight="1" x14ac:dyDescent="0.25">
      <c r="A2" s="163" t="s">
        <v>5</v>
      </c>
      <c r="B2" s="163" t="s">
        <v>6</v>
      </c>
      <c r="C2" s="164" t="s">
        <v>7</v>
      </c>
      <c r="D2" s="163" t="s">
        <v>8</v>
      </c>
      <c r="E2" s="166" t="s">
        <v>9</v>
      </c>
      <c r="F2" s="179" t="s">
        <v>10</v>
      </c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8"/>
      <c r="X2" s="228"/>
      <c r="Y2" s="228"/>
      <c r="Z2" s="228"/>
      <c r="AA2" s="228"/>
      <c r="AB2" s="222"/>
      <c r="AC2" s="222"/>
      <c r="AD2" s="222"/>
      <c r="AE2" s="222"/>
      <c r="AF2" s="222"/>
      <c r="AG2" s="222"/>
      <c r="AH2" s="222"/>
      <c r="AI2" s="222"/>
      <c r="AJ2" s="222"/>
      <c r="AK2" s="222"/>
      <c r="AL2" s="222"/>
      <c r="AM2" s="222"/>
      <c r="AN2" s="222"/>
      <c r="AO2" s="222"/>
      <c r="AP2" s="222"/>
      <c r="AQ2" s="222"/>
      <c r="AR2" s="222"/>
      <c r="AS2" s="222"/>
      <c r="AT2" s="222"/>
      <c r="AU2" s="222"/>
      <c r="AV2" s="222"/>
      <c r="AW2" s="222"/>
      <c r="AX2" s="225"/>
      <c r="AY2" s="226"/>
      <c r="AZ2" s="222"/>
      <c r="BA2" s="222"/>
      <c r="BB2" s="222"/>
      <c r="BC2" s="222"/>
      <c r="BD2" s="222"/>
      <c r="BE2" s="222"/>
      <c r="BF2" s="222"/>
      <c r="BG2" s="222"/>
      <c r="BH2" s="222"/>
      <c r="BI2" s="222"/>
      <c r="BJ2" s="222"/>
      <c r="BK2" s="222"/>
      <c r="BL2" s="222"/>
      <c r="BM2" s="222"/>
      <c r="BN2" s="222"/>
      <c r="BO2" s="222"/>
      <c r="BP2" s="222"/>
      <c r="BQ2" s="222"/>
      <c r="BR2" s="222"/>
      <c r="BS2" s="222"/>
      <c r="BT2" s="222"/>
      <c r="BU2" s="222"/>
      <c r="BV2" s="222"/>
      <c r="BW2" s="222"/>
      <c r="BX2" s="222"/>
      <c r="BY2" s="222"/>
      <c r="BZ2" s="222"/>
      <c r="CA2" s="222"/>
      <c r="CB2" s="222"/>
      <c r="CC2" s="222"/>
      <c r="CD2" s="222"/>
      <c r="CE2" s="222"/>
      <c r="CF2" s="222"/>
      <c r="CG2" s="222"/>
      <c r="CH2" s="222"/>
      <c r="CI2" s="222"/>
      <c r="CJ2" s="222"/>
      <c r="CK2" s="222"/>
      <c r="CL2" s="222"/>
      <c r="CM2" s="222"/>
      <c r="CN2" s="222"/>
      <c r="CO2" s="222"/>
      <c r="CP2" s="220"/>
      <c r="CQ2" s="221"/>
      <c r="CR2" s="220"/>
      <c r="CS2" s="221"/>
      <c r="CT2" s="220"/>
      <c r="CU2" s="221"/>
      <c r="CV2" s="220"/>
      <c r="CW2" s="221"/>
      <c r="CX2" s="220"/>
      <c r="CY2" s="221"/>
      <c r="CZ2" s="220"/>
      <c r="DA2" s="221"/>
      <c r="DB2" s="220"/>
      <c r="DC2" s="221"/>
      <c r="DD2" s="220"/>
      <c r="DE2" s="221"/>
      <c r="DF2" s="220"/>
      <c r="DG2" s="221"/>
      <c r="DH2" s="220"/>
      <c r="DI2" s="221"/>
      <c r="DJ2" s="220"/>
      <c r="DK2" s="221"/>
    </row>
    <row r="3" spans="1:121" s="16" customFormat="1" ht="43.5" customHeight="1" x14ac:dyDescent="0.2">
      <c r="A3" s="163"/>
      <c r="B3" s="163"/>
      <c r="C3" s="165"/>
      <c r="D3" s="163"/>
      <c r="E3" s="167"/>
      <c r="F3" s="180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144" t="s">
        <v>36</v>
      </c>
      <c r="AC3" s="144" t="s">
        <v>366</v>
      </c>
      <c r="AD3" s="144" t="s">
        <v>36</v>
      </c>
      <c r="AE3" s="144" t="s">
        <v>366</v>
      </c>
      <c r="AF3" s="144" t="s">
        <v>36</v>
      </c>
      <c r="AG3" s="144" t="s">
        <v>366</v>
      </c>
      <c r="AH3" s="144" t="s">
        <v>36</v>
      </c>
      <c r="AI3" s="144" t="s">
        <v>366</v>
      </c>
      <c r="AJ3" s="144" t="s">
        <v>36</v>
      </c>
      <c r="AK3" s="144" t="s">
        <v>366</v>
      </c>
      <c r="AL3" s="144" t="s">
        <v>36</v>
      </c>
      <c r="AM3" s="144" t="s">
        <v>366</v>
      </c>
      <c r="AN3" s="144" t="s">
        <v>36</v>
      </c>
      <c r="AO3" s="144" t="s">
        <v>366</v>
      </c>
      <c r="AP3" s="144" t="s">
        <v>36</v>
      </c>
      <c r="AQ3" s="144" t="s">
        <v>366</v>
      </c>
      <c r="AR3" s="144" t="s">
        <v>36</v>
      </c>
      <c r="AS3" s="144" t="s">
        <v>366</v>
      </c>
      <c r="AT3" s="144" t="s">
        <v>36</v>
      </c>
      <c r="AU3" s="144" t="s">
        <v>366</v>
      </c>
      <c r="AV3" s="144" t="s">
        <v>36</v>
      </c>
      <c r="AW3" s="144" t="s">
        <v>366</v>
      </c>
      <c r="AX3" s="145" t="s">
        <v>36</v>
      </c>
      <c r="AY3" s="145" t="s">
        <v>366</v>
      </c>
      <c r="AZ3" s="144" t="s">
        <v>36</v>
      </c>
      <c r="BA3" s="144" t="s">
        <v>366</v>
      </c>
      <c r="BB3" s="144" t="s">
        <v>36</v>
      </c>
      <c r="BC3" s="144" t="s">
        <v>366</v>
      </c>
      <c r="BD3" s="144" t="s">
        <v>36</v>
      </c>
      <c r="BE3" s="144" t="s">
        <v>366</v>
      </c>
      <c r="BF3" s="144" t="s">
        <v>36</v>
      </c>
      <c r="BG3" s="144" t="s">
        <v>366</v>
      </c>
      <c r="BH3" s="144" t="s">
        <v>36</v>
      </c>
      <c r="BI3" s="144" t="s">
        <v>366</v>
      </c>
      <c r="BJ3" s="144" t="s">
        <v>36</v>
      </c>
      <c r="BK3" s="144" t="s">
        <v>366</v>
      </c>
      <c r="BL3" s="144" t="s">
        <v>36</v>
      </c>
      <c r="BM3" s="144" t="s">
        <v>366</v>
      </c>
      <c r="BN3" s="144" t="s">
        <v>36</v>
      </c>
      <c r="BO3" s="144" t="s">
        <v>366</v>
      </c>
      <c r="BP3" s="144" t="s">
        <v>36</v>
      </c>
      <c r="BQ3" s="144" t="s">
        <v>366</v>
      </c>
      <c r="BR3" s="144" t="s">
        <v>36</v>
      </c>
      <c r="BS3" s="144" t="s">
        <v>366</v>
      </c>
      <c r="BT3" s="144" t="s">
        <v>36</v>
      </c>
      <c r="BU3" s="144" t="s">
        <v>366</v>
      </c>
      <c r="BV3" s="144" t="s">
        <v>36</v>
      </c>
      <c r="BW3" s="144" t="s">
        <v>366</v>
      </c>
      <c r="BX3" s="144" t="s">
        <v>36</v>
      </c>
      <c r="BY3" s="144" t="s">
        <v>366</v>
      </c>
      <c r="BZ3" s="144" t="s">
        <v>36</v>
      </c>
      <c r="CA3" s="144" t="s">
        <v>366</v>
      </c>
      <c r="CB3" s="144" t="s">
        <v>36</v>
      </c>
      <c r="CC3" s="144" t="s">
        <v>366</v>
      </c>
      <c r="CD3" s="144" t="s">
        <v>36</v>
      </c>
      <c r="CE3" s="144" t="s">
        <v>366</v>
      </c>
      <c r="CF3" s="144" t="s">
        <v>36</v>
      </c>
      <c r="CG3" s="144" t="s">
        <v>366</v>
      </c>
      <c r="CH3" s="144" t="s">
        <v>36</v>
      </c>
      <c r="CI3" s="144" t="s">
        <v>366</v>
      </c>
      <c r="CJ3" s="144" t="s">
        <v>36</v>
      </c>
      <c r="CK3" s="144" t="s">
        <v>366</v>
      </c>
      <c r="CL3" s="144" t="s">
        <v>36</v>
      </c>
      <c r="CM3" s="144" t="s">
        <v>366</v>
      </c>
      <c r="CN3" s="144" t="s">
        <v>36</v>
      </c>
      <c r="CO3" s="144" t="s">
        <v>366</v>
      </c>
      <c r="CP3" s="145" t="s">
        <v>36</v>
      </c>
      <c r="CQ3" s="145" t="s">
        <v>366</v>
      </c>
      <c r="CR3" s="145" t="s">
        <v>36</v>
      </c>
      <c r="CS3" s="145" t="s">
        <v>366</v>
      </c>
      <c r="CT3" s="145" t="s">
        <v>36</v>
      </c>
      <c r="CU3" s="145" t="s">
        <v>366</v>
      </c>
      <c r="CV3" s="145" t="s">
        <v>36</v>
      </c>
      <c r="CW3" s="145" t="s">
        <v>366</v>
      </c>
      <c r="CX3" s="145" t="s">
        <v>36</v>
      </c>
      <c r="CY3" s="145" t="s">
        <v>366</v>
      </c>
      <c r="CZ3" s="145" t="s">
        <v>36</v>
      </c>
      <c r="DA3" s="145" t="s">
        <v>366</v>
      </c>
      <c r="DB3" s="145" t="s">
        <v>36</v>
      </c>
      <c r="DC3" s="145" t="s">
        <v>366</v>
      </c>
      <c r="DD3" s="145" t="s">
        <v>36</v>
      </c>
      <c r="DE3" s="145" t="s">
        <v>366</v>
      </c>
      <c r="DF3" s="145" t="s">
        <v>36</v>
      </c>
      <c r="DG3" s="145" t="s">
        <v>366</v>
      </c>
      <c r="DH3" s="145" t="s">
        <v>36</v>
      </c>
      <c r="DI3" s="145" t="s">
        <v>366</v>
      </c>
      <c r="DJ3" s="145" t="s">
        <v>36</v>
      </c>
      <c r="DK3" s="145" t="s">
        <v>366</v>
      </c>
    </row>
    <row r="4" spans="1:121" ht="48" customHeight="1" x14ac:dyDescent="0.25">
      <c r="A4" s="17" t="s">
        <v>46</v>
      </c>
      <c r="B4" s="181" t="s">
        <v>47</v>
      </c>
      <c r="C4" s="18" t="s">
        <v>48</v>
      </c>
      <c r="D4" s="19" t="s">
        <v>49</v>
      </c>
      <c r="E4" s="20">
        <v>510</v>
      </c>
      <c r="F4" s="21" t="s">
        <v>50</v>
      </c>
      <c r="G4" s="22">
        <f t="shared" ref="G4:G23" si="0">SUM(H4:AA4)</f>
        <v>44000000</v>
      </c>
      <c r="H4" s="22"/>
      <c r="I4" s="22">
        <v>16000000</v>
      </c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>
        <v>23000000</v>
      </c>
      <c r="V4" s="22"/>
      <c r="W4" s="22"/>
      <c r="X4" s="22"/>
      <c r="Y4" s="22"/>
      <c r="Z4" s="22"/>
      <c r="AA4" s="22">
        <f>5000000</f>
        <v>5000000</v>
      </c>
      <c r="AB4" s="23">
        <f t="shared" ref="AB4:AB73" si="1">+AC4/G4</f>
        <v>0.99630881818181816</v>
      </c>
      <c r="AC4" s="22">
        <f t="shared" ref="AC4:AC23" si="2">SUM(AD4:AW4)</f>
        <v>43837588</v>
      </c>
      <c r="AD4" s="24"/>
      <c r="AE4" s="22">
        <f>+'[1]ENERO 2017'!$K$518</f>
        <v>16000000</v>
      </c>
      <c r="AF4" s="24"/>
      <c r="AG4" s="24"/>
      <c r="AH4" s="22"/>
      <c r="AI4" s="25"/>
      <c r="AJ4" s="25"/>
      <c r="AK4" s="25"/>
      <c r="AL4" s="25"/>
      <c r="AM4" s="25"/>
      <c r="AN4" s="25"/>
      <c r="AO4" s="25"/>
      <c r="AP4" s="25"/>
      <c r="AQ4" s="22">
        <f>+'[2]FEBRERO 2017'!$W$817</f>
        <v>23000000</v>
      </c>
      <c r="AR4" s="25"/>
      <c r="AS4" s="25"/>
      <c r="AT4" s="25"/>
      <c r="AU4" s="25"/>
      <c r="AV4" s="25"/>
      <c r="AW4" s="22">
        <f>+'[3]JUNIO 2017'!$AC$1319</f>
        <v>4837588</v>
      </c>
      <c r="AX4" s="23">
        <f t="shared" ref="AX4:AX73" si="3">1-AB4</f>
        <v>3.6911818181818434E-3</v>
      </c>
      <c r="AY4" s="22">
        <f t="shared" ref="AY4:AY15" si="4">SUM(AZ4:BS4)</f>
        <v>162412</v>
      </c>
      <c r="AZ4" s="22">
        <f t="shared" ref="AZ4:BO19" si="5">+H4-AD4</f>
        <v>0</v>
      </c>
      <c r="BA4" s="22">
        <f t="shared" si="5"/>
        <v>0</v>
      </c>
      <c r="BB4" s="22">
        <f t="shared" si="5"/>
        <v>0</v>
      </c>
      <c r="BC4" s="22">
        <f t="shared" si="5"/>
        <v>0</v>
      </c>
      <c r="BD4" s="22">
        <f t="shared" si="5"/>
        <v>0</v>
      </c>
      <c r="BE4" s="22">
        <f t="shared" si="5"/>
        <v>0</v>
      </c>
      <c r="BF4" s="22">
        <f t="shared" si="5"/>
        <v>0</v>
      </c>
      <c r="BG4" s="22">
        <f t="shared" si="5"/>
        <v>0</v>
      </c>
      <c r="BH4" s="22">
        <f t="shared" si="5"/>
        <v>0</v>
      </c>
      <c r="BI4" s="22">
        <f t="shared" si="5"/>
        <v>0</v>
      </c>
      <c r="BJ4" s="22">
        <f t="shared" si="5"/>
        <v>0</v>
      </c>
      <c r="BK4" s="22">
        <f t="shared" si="5"/>
        <v>0</v>
      </c>
      <c r="BL4" s="22">
        <f t="shared" si="5"/>
        <v>0</v>
      </c>
      <c r="BM4" s="22">
        <f t="shared" si="5"/>
        <v>0</v>
      </c>
      <c r="BN4" s="22">
        <f t="shared" si="5"/>
        <v>0</v>
      </c>
      <c r="BO4" s="22">
        <f t="shared" si="5"/>
        <v>0</v>
      </c>
      <c r="BP4" s="22">
        <f t="shared" ref="BP4:BS23" si="6">+X4-AT4</f>
        <v>0</v>
      </c>
      <c r="BQ4" s="22">
        <f t="shared" si="6"/>
        <v>0</v>
      </c>
      <c r="BR4" s="22">
        <f t="shared" si="6"/>
        <v>0</v>
      </c>
      <c r="BS4" s="22">
        <f t="shared" si="6"/>
        <v>162412</v>
      </c>
      <c r="BT4" s="23">
        <f t="shared" ref="BT4:BT73" si="7">+BU4/G4</f>
        <v>0.7417517954545455</v>
      </c>
      <c r="BU4" s="22">
        <f t="shared" ref="BU4:BU23" si="8">SUM(BV4:CO4)</f>
        <v>32637079</v>
      </c>
      <c r="BV4" s="22"/>
      <c r="BW4" s="22">
        <f>+'[4]MAYO 2017'!$H$1138</f>
        <v>16000000</v>
      </c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>
        <f>+'[5]AGOSTO 2017'!$H$2232</f>
        <v>11799491</v>
      </c>
      <c r="CJ4" s="22"/>
      <c r="CK4" s="22"/>
      <c r="CL4" s="22"/>
      <c r="CM4" s="22"/>
      <c r="CN4" s="22"/>
      <c r="CO4" s="22">
        <f>+'[3]JUNIO 2017'!$H$1337+'[3]JUNIO 2017'!$H$1340</f>
        <v>4837588</v>
      </c>
      <c r="CP4" s="23">
        <f t="shared" ref="CP4:CP67" si="9">1-BT4</f>
        <v>0.2582482045454545</v>
      </c>
      <c r="CQ4" s="22">
        <f t="shared" ref="CQ4:CQ23" si="10">SUM(CR4:DK4)</f>
        <v>11362921</v>
      </c>
      <c r="CR4" s="22">
        <f>H4-BV4</f>
        <v>0</v>
      </c>
      <c r="CS4" s="22">
        <f t="shared" ref="CS4:DH21" si="11">I4-BW4</f>
        <v>0</v>
      </c>
      <c r="CT4" s="22">
        <f t="shared" si="11"/>
        <v>0</v>
      </c>
      <c r="CU4" s="22">
        <f t="shared" si="11"/>
        <v>0</v>
      </c>
      <c r="CV4" s="22">
        <f t="shared" si="11"/>
        <v>0</v>
      </c>
      <c r="CW4" s="22">
        <f t="shared" si="11"/>
        <v>0</v>
      </c>
      <c r="CX4" s="22">
        <f t="shared" si="11"/>
        <v>0</v>
      </c>
      <c r="CY4" s="22">
        <f t="shared" si="11"/>
        <v>0</v>
      </c>
      <c r="CZ4" s="22">
        <f t="shared" si="11"/>
        <v>0</v>
      </c>
      <c r="DA4" s="22">
        <f t="shared" si="11"/>
        <v>0</v>
      </c>
      <c r="DB4" s="22">
        <f t="shared" si="11"/>
        <v>0</v>
      </c>
      <c r="DC4" s="22">
        <f t="shared" si="11"/>
        <v>0</v>
      </c>
      <c r="DD4" s="22">
        <f t="shared" si="11"/>
        <v>0</v>
      </c>
      <c r="DE4" s="22">
        <f t="shared" si="11"/>
        <v>11200509</v>
      </c>
      <c r="DF4" s="22">
        <f t="shared" si="11"/>
        <v>0</v>
      </c>
      <c r="DG4" s="22">
        <f t="shared" si="11"/>
        <v>0</v>
      </c>
      <c r="DH4" s="22">
        <f t="shared" si="11"/>
        <v>0</v>
      </c>
      <c r="DI4" s="22">
        <f t="shared" ref="DI4:DK23" si="12">Y4-CM4</f>
        <v>0</v>
      </c>
      <c r="DJ4" s="22">
        <f t="shared" si="12"/>
        <v>0</v>
      </c>
      <c r="DK4" s="22">
        <f t="shared" si="12"/>
        <v>162412</v>
      </c>
      <c r="DM4" s="26">
        <f>+G4</f>
        <v>44000000</v>
      </c>
      <c r="DN4" s="26">
        <f>+AC4+AY4</f>
        <v>44000000</v>
      </c>
      <c r="DO4" s="26">
        <f t="shared" ref="DO4:DO22" si="13">+BU4+CQ4</f>
        <v>44000000</v>
      </c>
    </row>
    <row r="5" spans="1:121" ht="50.25" customHeight="1" x14ac:dyDescent="0.25">
      <c r="A5" s="27"/>
      <c r="B5" s="182"/>
      <c r="C5" s="18" t="s">
        <v>51</v>
      </c>
      <c r="D5" s="19" t="s">
        <v>52</v>
      </c>
      <c r="E5" s="20">
        <v>510</v>
      </c>
      <c r="F5" s="21" t="s">
        <v>53</v>
      </c>
      <c r="G5" s="22">
        <f t="shared" si="0"/>
        <v>58854378</v>
      </c>
      <c r="H5" s="22"/>
      <c r="I5" s="22">
        <v>32000000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>
        <v>21000000</v>
      </c>
      <c r="V5" s="22"/>
      <c r="W5" s="22"/>
      <c r="X5" s="22"/>
      <c r="Y5" s="22"/>
      <c r="Z5" s="22"/>
      <c r="AA5" s="22">
        <f>854378+1000000+4000000</f>
        <v>5854378</v>
      </c>
      <c r="AB5" s="23">
        <f t="shared" si="1"/>
        <v>1</v>
      </c>
      <c r="AC5" s="22">
        <f>SUM(AD5:AW5)</f>
        <v>58854378</v>
      </c>
      <c r="AD5" s="22"/>
      <c r="AE5" s="22">
        <f>+'[1]ENERO 2017'!$K$526</f>
        <v>32000000</v>
      </c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>
        <f>+'[2]FEBRERO 2017'!$W$830</f>
        <v>21000000</v>
      </c>
      <c r="AR5" s="22"/>
      <c r="AS5" s="22"/>
      <c r="AT5" s="22"/>
      <c r="AU5" s="22"/>
      <c r="AV5" s="22"/>
      <c r="AW5" s="22">
        <f>+'[5]AGOSTO 2017'!$AC$2258</f>
        <v>5854378</v>
      </c>
      <c r="AX5" s="23">
        <f t="shared" si="3"/>
        <v>0</v>
      </c>
      <c r="AY5" s="22">
        <f t="shared" si="4"/>
        <v>0</v>
      </c>
      <c r="AZ5" s="22">
        <f t="shared" si="5"/>
        <v>0</v>
      </c>
      <c r="BA5" s="22">
        <f t="shared" si="5"/>
        <v>0</v>
      </c>
      <c r="BB5" s="22">
        <f t="shared" si="5"/>
        <v>0</v>
      </c>
      <c r="BC5" s="22">
        <f t="shared" si="5"/>
        <v>0</v>
      </c>
      <c r="BD5" s="22">
        <f t="shared" si="5"/>
        <v>0</v>
      </c>
      <c r="BE5" s="22">
        <f t="shared" si="5"/>
        <v>0</v>
      </c>
      <c r="BF5" s="22">
        <f t="shared" si="5"/>
        <v>0</v>
      </c>
      <c r="BG5" s="22">
        <f t="shared" si="5"/>
        <v>0</v>
      </c>
      <c r="BH5" s="22">
        <f t="shared" si="5"/>
        <v>0</v>
      </c>
      <c r="BI5" s="22">
        <f t="shared" si="5"/>
        <v>0</v>
      </c>
      <c r="BJ5" s="22">
        <f t="shared" si="5"/>
        <v>0</v>
      </c>
      <c r="BK5" s="22">
        <f t="shared" si="5"/>
        <v>0</v>
      </c>
      <c r="BL5" s="22">
        <f t="shared" si="5"/>
        <v>0</v>
      </c>
      <c r="BM5" s="22">
        <f t="shared" si="5"/>
        <v>0</v>
      </c>
      <c r="BN5" s="22">
        <f t="shared" si="5"/>
        <v>0</v>
      </c>
      <c r="BO5" s="22">
        <f t="shared" si="5"/>
        <v>0</v>
      </c>
      <c r="BP5" s="22">
        <f t="shared" si="6"/>
        <v>0</v>
      </c>
      <c r="BQ5" s="22">
        <f t="shared" si="6"/>
        <v>0</v>
      </c>
      <c r="BR5" s="22">
        <f t="shared" si="6"/>
        <v>0</v>
      </c>
      <c r="BS5" s="22">
        <f t="shared" si="6"/>
        <v>0</v>
      </c>
      <c r="BT5" s="23">
        <f t="shared" si="7"/>
        <v>0.85301779928759081</v>
      </c>
      <c r="BU5" s="22">
        <f t="shared" si="8"/>
        <v>50203832</v>
      </c>
      <c r="BV5" s="22"/>
      <c r="BW5" s="22">
        <f>+'[5]AGOSTO 2017'!$H$2259</f>
        <v>27815454</v>
      </c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>
        <f>+'[5]AGOSTO 2017'!$H$2266</f>
        <v>20534000</v>
      </c>
      <c r="CJ5" s="22"/>
      <c r="CK5" s="22"/>
      <c r="CL5" s="22"/>
      <c r="CM5" s="22"/>
      <c r="CN5" s="22"/>
      <c r="CO5" s="22">
        <f>+'[5]AGOSTO 2017'!$H$2264+'[5]AGOSTO 2017'!$H$2272</f>
        <v>1854378</v>
      </c>
      <c r="CP5" s="23">
        <f t="shared" si="9"/>
        <v>0.14698220071240919</v>
      </c>
      <c r="CQ5" s="22">
        <f t="shared" si="10"/>
        <v>8650546</v>
      </c>
      <c r="CR5" s="22">
        <f t="shared" ref="CR5:DG23" si="14">H5-BV5</f>
        <v>0</v>
      </c>
      <c r="CS5" s="22">
        <f t="shared" si="11"/>
        <v>4184546</v>
      </c>
      <c r="CT5" s="22">
        <f t="shared" si="11"/>
        <v>0</v>
      </c>
      <c r="CU5" s="22">
        <f t="shared" si="11"/>
        <v>0</v>
      </c>
      <c r="CV5" s="22">
        <f t="shared" si="11"/>
        <v>0</v>
      </c>
      <c r="CW5" s="22">
        <f t="shared" si="11"/>
        <v>0</v>
      </c>
      <c r="CX5" s="22">
        <f t="shared" si="11"/>
        <v>0</v>
      </c>
      <c r="CY5" s="22">
        <f t="shared" si="11"/>
        <v>0</v>
      </c>
      <c r="CZ5" s="22">
        <f t="shared" si="11"/>
        <v>0</v>
      </c>
      <c r="DA5" s="22">
        <f t="shared" si="11"/>
        <v>0</v>
      </c>
      <c r="DB5" s="22">
        <f t="shared" si="11"/>
        <v>0</v>
      </c>
      <c r="DC5" s="22">
        <f t="shared" si="11"/>
        <v>0</v>
      </c>
      <c r="DD5" s="22">
        <f t="shared" si="11"/>
        <v>0</v>
      </c>
      <c r="DE5" s="22">
        <f t="shared" si="11"/>
        <v>466000</v>
      </c>
      <c r="DF5" s="22">
        <f t="shared" si="11"/>
        <v>0</v>
      </c>
      <c r="DG5" s="22">
        <f t="shared" si="11"/>
        <v>0</v>
      </c>
      <c r="DH5" s="22">
        <f t="shared" si="11"/>
        <v>0</v>
      </c>
      <c r="DI5" s="22">
        <f t="shared" si="12"/>
        <v>0</v>
      </c>
      <c r="DJ5" s="22">
        <f t="shared" si="12"/>
        <v>0</v>
      </c>
      <c r="DK5" s="22">
        <f t="shared" si="12"/>
        <v>4000000</v>
      </c>
      <c r="DM5" s="26">
        <f t="shared" ref="DM5:DM22" si="15">+G5</f>
        <v>58854378</v>
      </c>
      <c r="DN5" s="26">
        <f t="shared" ref="DN5:DN15" si="16">+AC5+AY5</f>
        <v>58854378</v>
      </c>
      <c r="DO5" s="26">
        <f t="shared" si="13"/>
        <v>58854378</v>
      </c>
    </row>
    <row r="6" spans="1:121" ht="36.75" customHeight="1" x14ac:dyDescent="0.25">
      <c r="A6" s="27"/>
      <c r="B6" s="183"/>
      <c r="C6" s="18" t="s">
        <v>54</v>
      </c>
      <c r="D6" s="19" t="s">
        <v>55</v>
      </c>
      <c r="E6" s="28">
        <v>510</v>
      </c>
      <c r="F6" s="21" t="s">
        <v>56</v>
      </c>
      <c r="G6" s="22">
        <f t="shared" si="0"/>
        <v>31594219</v>
      </c>
      <c r="H6" s="22"/>
      <c r="I6" s="22">
        <v>12000000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>
        <v>17594219</v>
      </c>
      <c r="V6" s="22"/>
      <c r="W6" s="22"/>
      <c r="X6" s="22"/>
      <c r="Y6" s="22"/>
      <c r="Z6" s="22"/>
      <c r="AA6" s="22">
        <f>2000000</f>
        <v>2000000</v>
      </c>
      <c r="AB6" s="23">
        <f t="shared" si="1"/>
        <v>1</v>
      </c>
      <c r="AC6" s="22">
        <f>SUM(AD6:AW6)</f>
        <v>31594219</v>
      </c>
      <c r="AD6" s="22"/>
      <c r="AE6" s="22">
        <f>+'[5]AGOSTO 2017'!$K$2278</f>
        <v>12000000</v>
      </c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>
        <f>+'[2]FEBRERO 2017'!$W$839</f>
        <v>17594219</v>
      </c>
      <c r="AR6" s="22"/>
      <c r="AS6" s="22"/>
      <c r="AT6" s="22"/>
      <c r="AU6" s="22"/>
      <c r="AV6" s="22"/>
      <c r="AW6" s="22">
        <f>+'[5]AGOSTO 2017'!$AC$2278</f>
        <v>2000000</v>
      </c>
      <c r="AX6" s="23">
        <f t="shared" si="3"/>
        <v>0</v>
      </c>
      <c r="AY6" s="22">
        <f t="shared" si="4"/>
        <v>0</v>
      </c>
      <c r="AZ6" s="22">
        <f t="shared" si="5"/>
        <v>0</v>
      </c>
      <c r="BA6" s="22">
        <f t="shared" si="5"/>
        <v>0</v>
      </c>
      <c r="BB6" s="22">
        <f t="shared" si="5"/>
        <v>0</v>
      </c>
      <c r="BC6" s="22">
        <f t="shared" si="5"/>
        <v>0</v>
      </c>
      <c r="BD6" s="22">
        <f t="shared" si="5"/>
        <v>0</v>
      </c>
      <c r="BE6" s="22">
        <f t="shared" si="5"/>
        <v>0</v>
      </c>
      <c r="BF6" s="22">
        <f t="shared" si="5"/>
        <v>0</v>
      </c>
      <c r="BG6" s="22">
        <f t="shared" si="5"/>
        <v>0</v>
      </c>
      <c r="BH6" s="22">
        <f t="shared" si="5"/>
        <v>0</v>
      </c>
      <c r="BI6" s="22">
        <f t="shared" si="5"/>
        <v>0</v>
      </c>
      <c r="BJ6" s="22">
        <f t="shared" si="5"/>
        <v>0</v>
      </c>
      <c r="BK6" s="22">
        <f t="shared" si="5"/>
        <v>0</v>
      </c>
      <c r="BL6" s="22">
        <f t="shared" si="5"/>
        <v>0</v>
      </c>
      <c r="BM6" s="22">
        <f t="shared" si="5"/>
        <v>0</v>
      </c>
      <c r="BN6" s="22">
        <f t="shared" si="5"/>
        <v>0</v>
      </c>
      <c r="BO6" s="22">
        <f t="shared" si="5"/>
        <v>0</v>
      </c>
      <c r="BP6" s="22">
        <f t="shared" si="6"/>
        <v>0</v>
      </c>
      <c r="BQ6" s="22">
        <f t="shared" si="6"/>
        <v>0</v>
      </c>
      <c r="BR6" s="22">
        <f t="shared" si="6"/>
        <v>0</v>
      </c>
      <c r="BS6" s="22">
        <f t="shared" si="6"/>
        <v>0</v>
      </c>
      <c r="BT6" s="23">
        <f t="shared" si="7"/>
        <v>0.70899046436311652</v>
      </c>
      <c r="BU6" s="22">
        <f t="shared" si="8"/>
        <v>22400000</v>
      </c>
      <c r="BV6" s="22"/>
      <c r="BW6" s="22">
        <f>+'[5]AGOSTO 2017'!$H$2281</f>
        <v>4805781</v>
      </c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>
        <f>+'[5]AGOSTO 2017'!$H$2279</f>
        <v>17594219</v>
      </c>
      <c r="CJ6" s="22"/>
      <c r="CK6" s="22"/>
      <c r="CL6" s="22"/>
      <c r="CM6" s="22"/>
      <c r="CN6" s="22"/>
      <c r="CO6" s="22"/>
      <c r="CP6" s="23">
        <f t="shared" si="9"/>
        <v>0.29100953563688348</v>
      </c>
      <c r="CQ6" s="22">
        <f t="shared" si="10"/>
        <v>9194219</v>
      </c>
      <c r="CR6" s="22">
        <f t="shared" si="14"/>
        <v>0</v>
      </c>
      <c r="CS6" s="22">
        <f t="shared" si="11"/>
        <v>7194219</v>
      </c>
      <c r="CT6" s="22">
        <f t="shared" si="11"/>
        <v>0</v>
      </c>
      <c r="CU6" s="22">
        <f t="shared" si="11"/>
        <v>0</v>
      </c>
      <c r="CV6" s="22">
        <f t="shared" si="11"/>
        <v>0</v>
      </c>
      <c r="CW6" s="22">
        <f t="shared" si="11"/>
        <v>0</v>
      </c>
      <c r="CX6" s="22">
        <f t="shared" si="11"/>
        <v>0</v>
      </c>
      <c r="CY6" s="22">
        <f t="shared" si="11"/>
        <v>0</v>
      </c>
      <c r="CZ6" s="22">
        <f t="shared" si="11"/>
        <v>0</v>
      </c>
      <c r="DA6" s="22">
        <f t="shared" si="11"/>
        <v>0</v>
      </c>
      <c r="DB6" s="22">
        <f t="shared" si="11"/>
        <v>0</v>
      </c>
      <c r="DC6" s="22">
        <f t="shared" si="11"/>
        <v>0</v>
      </c>
      <c r="DD6" s="22">
        <f t="shared" si="11"/>
        <v>0</v>
      </c>
      <c r="DE6" s="22">
        <f t="shared" si="11"/>
        <v>0</v>
      </c>
      <c r="DF6" s="22">
        <f t="shared" si="11"/>
        <v>0</v>
      </c>
      <c r="DG6" s="22">
        <f t="shared" si="11"/>
        <v>0</v>
      </c>
      <c r="DH6" s="22">
        <f t="shared" si="11"/>
        <v>0</v>
      </c>
      <c r="DI6" s="22">
        <f t="shared" si="12"/>
        <v>0</v>
      </c>
      <c r="DJ6" s="22">
        <f t="shared" si="12"/>
        <v>0</v>
      </c>
      <c r="DK6" s="22">
        <f t="shared" si="12"/>
        <v>2000000</v>
      </c>
      <c r="DM6" s="26">
        <f t="shared" si="15"/>
        <v>31594219</v>
      </c>
      <c r="DN6" s="26">
        <f t="shared" si="16"/>
        <v>31594219</v>
      </c>
      <c r="DO6" s="26">
        <f t="shared" si="13"/>
        <v>31594219</v>
      </c>
    </row>
    <row r="7" spans="1:121" ht="51.75" customHeight="1" x14ac:dyDescent="0.25">
      <c r="A7" s="27"/>
      <c r="B7" s="36" t="s">
        <v>57</v>
      </c>
      <c r="C7" s="18" t="s">
        <v>58</v>
      </c>
      <c r="D7" s="19" t="s">
        <v>59</v>
      </c>
      <c r="E7" s="20">
        <v>510</v>
      </c>
      <c r="F7" s="21" t="s">
        <v>60</v>
      </c>
      <c r="G7" s="22">
        <f t="shared" si="0"/>
        <v>39000000</v>
      </c>
      <c r="H7" s="22"/>
      <c r="I7" s="22"/>
      <c r="J7" s="22">
        <v>16000000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>
        <f>20000000+3000000</f>
        <v>23000000</v>
      </c>
      <c r="AB7" s="23">
        <f t="shared" si="1"/>
        <v>0.35231797435897438</v>
      </c>
      <c r="AC7" s="22">
        <f>SUM(AD7:AW7)</f>
        <v>13740401</v>
      </c>
      <c r="AD7" s="22"/>
      <c r="AE7" s="22"/>
      <c r="AF7" s="22">
        <f>+'[5]AGOSTO 2017'!$L$2288</f>
        <v>8740401</v>
      </c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>
        <f>+'[6]JULIO 2017'!$AC$1970</f>
        <v>5000000</v>
      </c>
      <c r="AX7" s="23">
        <f t="shared" si="3"/>
        <v>0.64768202564102562</v>
      </c>
      <c r="AY7" s="22">
        <f t="shared" si="4"/>
        <v>25259599</v>
      </c>
      <c r="AZ7" s="22">
        <f t="shared" si="5"/>
        <v>0</v>
      </c>
      <c r="BA7" s="22">
        <f t="shared" si="5"/>
        <v>0</v>
      </c>
      <c r="BB7" s="22">
        <f t="shared" si="5"/>
        <v>7259599</v>
      </c>
      <c r="BC7" s="22">
        <f t="shared" si="5"/>
        <v>0</v>
      </c>
      <c r="BD7" s="22">
        <f t="shared" si="5"/>
        <v>0</v>
      </c>
      <c r="BE7" s="22">
        <f t="shared" si="5"/>
        <v>0</v>
      </c>
      <c r="BF7" s="22">
        <f t="shared" si="5"/>
        <v>0</v>
      </c>
      <c r="BG7" s="22">
        <f t="shared" si="5"/>
        <v>0</v>
      </c>
      <c r="BH7" s="22">
        <f t="shared" si="5"/>
        <v>0</v>
      </c>
      <c r="BI7" s="22">
        <f t="shared" si="5"/>
        <v>0</v>
      </c>
      <c r="BJ7" s="22">
        <f t="shared" si="5"/>
        <v>0</v>
      </c>
      <c r="BK7" s="22">
        <f t="shared" si="5"/>
        <v>0</v>
      </c>
      <c r="BL7" s="22">
        <f t="shared" si="5"/>
        <v>0</v>
      </c>
      <c r="BM7" s="22">
        <f t="shared" si="5"/>
        <v>0</v>
      </c>
      <c r="BN7" s="22">
        <f t="shared" si="5"/>
        <v>0</v>
      </c>
      <c r="BO7" s="22">
        <f t="shared" si="5"/>
        <v>0</v>
      </c>
      <c r="BP7" s="22">
        <f t="shared" si="6"/>
        <v>0</v>
      </c>
      <c r="BQ7" s="22">
        <f t="shared" si="6"/>
        <v>0</v>
      </c>
      <c r="BR7" s="22">
        <f t="shared" si="6"/>
        <v>0</v>
      </c>
      <c r="BS7" s="22">
        <f t="shared" si="6"/>
        <v>18000000</v>
      </c>
      <c r="BT7" s="23">
        <f t="shared" si="7"/>
        <v>0.35231797435897438</v>
      </c>
      <c r="BU7" s="22">
        <f t="shared" si="8"/>
        <v>13740401</v>
      </c>
      <c r="BV7" s="22"/>
      <c r="BW7" s="22"/>
      <c r="BX7" s="22">
        <f>+'[5]AGOSTO 2017'!$H$2286-CO7</f>
        <v>8740401</v>
      </c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>
        <f>+'[5]AGOSTO 2017'!$H$2310</f>
        <v>5000000</v>
      </c>
      <c r="CP7" s="23">
        <f t="shared" si="9"/>
        <v>0.64768202564102562</v>
      </c>
      <c r="CQ7" s="22">
        <f t="shared" si="10"/>
        <v>25259599</v>
      </c>
      <c r="CR7" s="22">
        <f t="shared" si="14"/>
        <v>0</v>
      </c>
      <c r="CS7" s="22">
        <f t="shared" si="11"/>
        <v>0</v>
      </c>
      <c r="CT7" s="22">
        <f t="shared" si="11"/>
        <v>7259599</v>
      </c>
      <c r="CU7" s="22">
        <f t="shared" si="11"/>
        <v>0</v>
      </c>
      <c r="CV7" s="22">
        <f t="shared" si="11"/>
        <v>0</v>
      </c>
      <c r="CW7" s="22">
        <f t="shared" si="11"/>
        <v>0</v>
      </c>
      <c r="CX7" s="22">
        <f t="shared" si="11"/>
        <v>0</v>
      </c>
      <c r="CY7" s="22">
        <f t="shared" si="11"/>
        <v>0</v>
      </c>
      <c r="CZ7" s="22">
        <f t="shared" si="11"/>
        <v>0</v>
      </c>
      <c r="DA7" s="22">
        <f t="shared" si="11"/>
        <v>0</v>
      </c>
      <c r="DB7" s="22">
        <f t="shared" si="11"/>
        <v>0</v>
      </c>
      <c r="DC7" s="22">
        <f t="shared" si="11"/>
        <v>0</v>
      </c>
      <c r="DD7" s="22">
        <f t="shared" si="11"/>
        <v>0</v>
      </c>
      <c r="DE7" s="22">
        <f t="shared" si="11"/>
        <v>0</v>
      </c>
      <c r="DF7" s="22">
        <f t="shared" si="11"/>
        <v>0</v>
      </c>
      <c r="DG7" s="22">
        <f t="shared" si="11"/>
        <v>0</v>
      </c>
      <c r="DH7" s="22">
        <f t="shared" si="11"/>
        <v>0</v>
      </c>
      <c r="DI7" s="22">
        <f t="shared" si="12"/>
        <v>0</v>
      </c>
      <c r="DJ7" s="22">
        <f t="shared" si="12"/>
        <v>0</v>
      </c>
      <c r="DK7" s="22">
        <f t="shared" si="12"/>
        <v>18000000</v>
      </c>
      <c r="DM7" s="26">
        <f t="shared" si="15"/>
        <v>39000000</v>
      </c>
      <c r="DN7" s="26">
        <f t="shared" si="16"/>
        <v>39000000</v>
      </c>
      <c r="DO7" s="26">
        <f t="shared" si="13"/>
        <v>39000000</v>
      </c>
    </row>
    <row r="8" spans="1:121" ht="63.75" customHeight="1" x14ac:dyDescent="0.25">
      <c r="A8" s="27"/>
      <c r="B8" s="181" t="s">
        <v>61</v>
      </c>
      <c r="C8" s="30" t="s">
        <v>62</v>
      </c>
      <c r="D8" s="31" t="s">
        <v>63</v>
      </c>
      <c r="E8" s="20">
        <v>310</v>
      </c>
      <c r="F8" s="21" t="s">
        <v>56</v>
      </c>
      <c r="G8" s="22">
        <f t="shared" si="0"/>
        <v>178290131</v>
      </c>
      <c r="H8" s="22"/>
      <c r="I8" s="22">
        <f>120000000+58290131</f>
        <v>178290131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3">
        <f t="shared" si="1"/>
        <v>1</v>
      </c>
      <c r="AC8" s="22">
        <f>SUM(AD8:AW8)</f>
        <v>178290131</v>
      </c>
      <c r="AD8" s="22"/>
      <c r="AE8" s="22">
        <f>+'[2]FEBRERO 2017'!$K$120</f>
        <v>178290131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3">
        <f t="shared" si="3"/>
        <v>0</v>
      </c>
      <c r="AY8" s="22">
        <f t="shared" si="4"/>
        <v>0</v>
      </c>
      <c r="AZ8" s="22">
        <f t="shared" si="5"/>
        <v>0</v>
      </c>
      <c r="BA8" s="22">
        <f t="shared" si="5"/>
        <v>0</v>
      </c>
      <c r="BB8" s="22">
        <f t="shared" si="5"/>
        <v>0</v>
      </c>
      <c r="BC8" s="22">
        <f t="shared" si="5"/>
        <v>0</v>
      </c>
      <c r="BD8" s="22">
        <f t="shared" si="5"/>
        <v>0</v>
      </c>
      <c r="BE8" s="22">
        <f t="shared" si="5"/>
        <v>0</v>
      </c>
      <c r="BF8" s="22">
        <f t="shared" si="5"/>
        <v>0</v>
      </c>
      <c r="BG8" s="22">
        <f t="shared" si="5"/>
        <v>0</v>
      </c>
      <c r="BH8" s="22">
        <f t="shared" si="5"/>
        <v>0</v>
      </c>
      <c r="BI8" s="22">
        <f t="shared" si="5"/>
        <v>0</v>
      </c>
      <c r="BJ8" s="22">
        <f t="shared" si="5"/>
        <v>0</v>
      </c>
      <c r="BK8" s="22">
        <f t="shared" si="5"/>
        <v>0</v>
      </c>
      <c r="BL8" s="22">
        <f t="shared" si="5"/>
        <v>0</v>
      </c>
      <c r="BM8" s="22">
        <f t="shared" si="5"/>
        <v>0</v>
      </c>
      <c r="BN8" s="22">
        <f t="shared" si="5"/>
        <v>0</v>
      </c>
      <c r="BO8" s="22">
        <f t="shared" si="5"/>
        <v>0</v>
      </c>
      <c r="BP8" s="22">
        <f t="shared" si="6"/>
        <v>0</v>
      </c>
      <c r="BQ8" s="22">
        <f t="shared" si="6"/>
        <v>0</v>
      </c>
      <c r="BR8" s="22">
        <f t="shared" si="6"/>
        <v>0</v>
      </c>
      <c r="BS8" s="22">
        <f t="shared" si="6"/>
        <v>0</v>
      </c>
      <c r="BT8" s="23">
        <f t="shared" si="7"/>
        <v>0.61583304350143753</v>
      </c>
      <c r="BU8" s="22">
        <f>SUM(BV8:CO8)</f>
        <v>109796954</v>
      </c>
      <c r="BV8" s="22"/>
      <c r="BW8" s="22">
        <f>+'[5]AGOSTO 2017'!$H$320</f>
        <v>109796954</v>
      </c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3">
        <f t="shared" si="9"/>
        <v>0.38416695649856247</v>
      </c>
      <c r="CQ8" s="22">
        <f t="shared" si="10"/>
        <v>68493177</v>
      </c>
      <c r="CR8" s="22">
        <f t="shared" si="14"/>
        <v>0</v>
      </c>
      <c r="CS8" s="22">
        <f t="shared" si="11"/>
        <v>68493177</v>
      </c>
      <c r="CT8" s="22">
        <f t="shared" si="11"/>
        <v>0</v>
      </c>
      <c r="CU8" s="22">
        <f t="shared" si="11"/>
        <v>0</v>
      </c>
      <c r="CV8" s="22">
        <f t="shared" si="11"/>
        <v>0</v>
      </c>
      <c r="CW8" s="22">
        <f t="shared" si="11"/>
        <v>0</v>
      </c>
      <c r="CX8" s="22">
        <f t="shared" si="11"/>
        <v>0</v>
      </c>
      <c r="CY8" s="22">
        <f t="shared" si="11"/>
        <v>0</v>
      </c>
      <c r="CZ8" s="22">
        <f t="shared" si="11"/>
        <v>0</v>
      </c>
      <c r="DA8" s="22">
        <f t="shared" si="11"/>
        <v>0</v>
      </c>
      <c r="DB8" s="22">
        <f t="shared" si="11"/>
        <v>0</v>
      </c>
      <c r="DC8" s="22">
        <f t="shared" si="11"/>
        <v>0</v>
      </c>
      <c r="DD8" s="22">
        <f t="shared" si="11"/>
        <v>0</v>
      </c>
      <c r="DE8" s="22">
        <f t="shared" si="11"/>
        <v>0</v>
      </c>
      <c r="DF8" s="22">
        <f t="shared" si="11"/>
        <v>0</v>
      </c>
      <c r="DG8" s="22">
        <f t="shared" si="11"/>
        <v>0</v>
      </c>
      <c r="DH8" s="22">
        <f t="shared" si="11"/>
        <v>0</v>
      </c>
      <c r="DI8" s="22">
        <f t="shared" si="12"/>
        <v>0</v>
      </c>
      <c r="DJ8" s="22">
        <f t="shared" si="12"/>
        <v>0</v>
      </c>
      <c r="DK8" s="22">
        <f t="shared" si="12"/>
        <v>0</v>
      </c>
      <c r="DM8" s="26">
        <f t="shared" si="15"/>
        <v>178290131</v>
      </c>
      <c r="DN8" s="26">
        <f t="shared" si="16"/>
        <v>178290131</v>
      </c>
      <c r="DO8" s="26">
        <f t="shared" si="13"/>
        <v>178290131</v>
      </c>
    </row>
    <row r="9" spans="1:121" ht="68.25" customHeight="1" x14ac:dyDescent="0.25">
      <c r="A9" s="27"/>
      <c r="B9" s="182"/>
      <c r="C9" s="18" t="s">
        <v>64</v>
      </c>
      <c r="D9" s="19" t="s">
        <v>65</v>
      </c>
      <c r="E9" s="20">
        <v>310</v>
      </c>
      <c r="F9" s="32" t="s">
        <v>66</v>
      </c>
      <c r="G9" s="22">
        <f t="shared" si="0"/>
        <v>340000000</v>
      </c>
      <c r="H9" s="22"/>
      <c r="I9" s="22">
        <f>280000000-158290131-40000000</f>
        <v>81709869</v>
      </c>
      <c r="J9" s="22"/>
      <c r="K9" s="22">
        <v>186290131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>
        <f>51000000+5000000+19000000-3000000</f>
        <v>72000000</v>
      </c>
      <c r="AB9" s="23">
        <f t="shared" si="1"/>
        <v>0.57996086470588237</v>
      </c>
      <c r="AC9" s="22">
        <f t="shared" si="2"/>
        <v>197186694</v>
      </c>
      <c r="AD9" s="22"/>
      <c r="AE9" s="22">
        <f>+'[7]FEBRERO 2017'!$K$125</f>
        <v>5834000</v>
      </c>
      <c r="AF9" s="22"/>
      <c r="AG9" s="22">
        <f>+'[5]AGOSTO 2017'!$L$346</f>
        <v>143552694</v>
      </c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>+'[5]AGOSTO 2017'!$AC$346</f>
        <v>47800000</v>
      </c>
      <c r="AX9" s="23">
        <f t="shared" si="3"/>
        <v>0.42003913529411763</v>
      </c>
      <c r="AY9" s="22">
        <f t="shared" si="4"/>
        <v>142813306</v>
      </c>
      <c r="AZ9" s="22">
        <f t="shared" si="5"/>
        <v>0</v>
      </c>
      <c r="BA9" s="22">
        <f t="shared" si="5"/>
        <v>75875869</v>
      </c>
      <c r="BB9" s="22">
        <f t="shared" si="5"/>
        <v>0</v>
      </c>
      <c r="BC9" s="22">
        <f t="shared" si="5"/>
        <v>42737437</v>
      </c>
      <c r="BD9" s="22">
        <f t="shared" si="5"/>
        <v>0</v>
      </c>
      <c r="BE9" s="22">
        <f t="shared" si="5"/>
        <v>0</v>
      </c>
      <c r="BF9" s="22">
        <f t="shared" si="5"/>
        <v>0</v>
      </c>
      <c r="BG9" s="22">
        <f t="shared" si="5"/>
        <v>0</v>
      </c>
      <c r="BH9" s="22">
        <f t="shared" si="5"/>
        <v>0</v>
      </c>
      <c r="BI9" s="22">
        <f t="shared" si="5"/>
        <v>0</v>
      </c>
      <c r="BJ9" s="22">
        <f t="shared" si="5"/>
        <v>0</v>
      </c>
      <c r="BK9" s="22">
        <f t="shared" si="5"/>
        <v>0</v>
      </c>
      <c r="BL9" s="22">
        <f t="shared" si="5"/>
        <v>0</v>
      </c>
      <c r="BM9" s="22">
        <f t="shared" si="5"/>
        <v>0</v>
      </c>
      <c r="BN9" s="22">
        <f t="shared" si="5"/>
        <v>0</v>
      </c>
      <c r="BO9" s="22">
        <f t="shared" si="5"/>
        <v>0</v>
      </c>
      <c r="BP9" s="22">
        <f t="shared" si="6"/>
        <v>0</v>
      </c>
      <c r="BQ9" s="22">
        <f t="shared" si="6"/>
        <v>0</v>
      </c>
      <c r="BR9" s="22">
        <f t="shared" si="6"/>
        <v>0</v>
      </c>
      <c r="BS9" s="22">
        <f t="shared" si="6"/>
        <v>24200000</v>
      </c>
      <c r="BT9" s="23">
        <f t="shared" si="7"/>
        <v>0.50807966764705881</v>
      </c>
      <c r="BU9" s="22">
        <f>SUM(BV9:CO9)</f>
        <v>172747087</v>
      </c>
      <c r="BV9" s="22"/>
      <c r="BW9" s="22">
        <f>+'[7]FEBRERO 2017'!$K$125</f>
        <v>5834000</v>
      </c>
      <c r="BX9" s="22"/>
      <c r="BY9" s="22">
        <f>+'[5]AGOSTO 2017'!$L$346</f>
        <v>143552694</v>
      </c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>
        <f>+'[5]AGOSTO 2017'!$H$344-BY9-BW9</f>
        <v>23360393</v>
      </c>
      <c r="CP9" s="23">
        <f t="shared" si="9"/>
        <v>0.49192033235294119</v>
      </c>
      <c r="CQ9" s="22">
        <f t="shared" si="10"/>
        <v>167252913</v>
      </c>
      <c r="CR9" s="22">
        <f t="shared" si="14"/>
        <v>0</v>
      </c>
      <c r="CS9" s="22">
        <f t="shared" si="11"/>
        <v>75875869</v>
      </c>
      <c r="CT9" s="22">
        <f t="shared" si="11"/>
        <v>0</v>
      </c>
      <c r="CU9" s="22">
        <f t="shared" si="11"/>
        <v>42737437</v>
      </c>
      <c r="CV9" s="22">
        <f t="shared" si="11"/>
        <v>0</v>
      </c>
      <c r="CW9" s="22">
        <f t="shared" si="11"/>
        <v>0</v>
      </c>
      <c r="CX9" s="22">
        <f t="shared" si="11"/>
        <v>0</v>
      </c>
      <c r="CY9" s="22">
        <f t="shared" si="11"/>
        <v>0</v>
      </c>
      <c r="CZ9" s="22">
        <f t="shared" si="11"/>
        <v>0</v>
      </c>
      <c r="DA9" s="22">
        <f t="shared" si="11"/>
        <v>0</v>
      </c>
      <c r="DB9" s="22">
        <f t="shared" si="11"/>
        <v>0</v>
      </c>
      <c r="DC9" s="22">
        <f t="shared" si="11"/>
        <v>0</v>
      </c>
      <c r="DD9" s="22">
        <f t="shared" si="11"/>
        <v>0</v>
      </c>
      <c r="DE9" s="22">
        <f t="shared" si="11"/>
        <v>0</v>
      </c>
      <c r="DF9" s="22">
        <f t="shared" si="11"/>
        <v>0</v>
      </c>
      <c r="DG9" s="22">
        <f t="shared" si="11"/>
        <v>0</v>
      </c>
      <c r="DH9" s="22">
        <f t="shared" si="11"/>
        <v>0</v>
      </c>
      <c r="DI9" s="22">
        <f t="shared" si="12"/>
        <v>0</v>
      </c>
      <c r="DJ9" s="22">
        <f t="shared" si="12"/>
        <v>0</v>
      </c>
      <c r="DK9" s="22">
        <f t="shared" si="12"/>
        <v>48639607</v>
      </c>
      <c r="DM9" s="26">
        <f t="shared" si="15"/>
        <v>340000000</v>
      </c>
      <c r="DN9" s="26">
        <f t="shared" si="16"/>
        <v>340000000</v>
      </c>
      <c r="DO9" s="26">
        <f t="shared" si="13"/>
        <v>340000000</v>
      </c>
    </row>
    <row r="10" spans="1:121" ht="24" customHeight="1" x14ac:dyDescent="0.25">
      <c r="A10" s="27"/>
      <c r="B10" s="182"/>
      <c r="C10" s="18" t="s">
        <v>67</v>
      </c>
      <c r="D10" s="19" t="s">
        <v>68</v>
      </c>
      <c r="E10" s="20">
        <v>310</v>
      </c>
      <c r="F10" s="21" t="s">
        <v>56</v>
      </c>
      <c r="G10" s="22">
        <f t="shared" si="0"/>
        <v>30000000</v>
      </c>
      <c r="H10" s="22"/>
      <c r="I10" s="22">
        <v>30000000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3">
        <f t="shared" si="1"/>
        <v>1</v>
      </c>
      <c r="AC10" s="22">
        <f t="shared" si="2"/>
        <v>30000000</v>
      </c>
      <c r="AD10" s="22"/>
      <c r="AE10" s="22">
        <f>+'[7]FEBRERO 2017'!$K$140</f>
        <v>30000000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3">
        <f t="shared" si="3"/>
        <v>0</v>
      </c>
      <c r="AY10" s="22">
        <f t="shared" si="4"/>
        <v>0</v>
      </c>
      <c r="AZ10" s="22">
        <f t="shared" si="5"/>
        <v>0</v>
      </c>
      <c r="BA10" s="22">
        <f t="shared" si="5"/>
        <v>0</v>
      </c>
      <c r="BB10" s="22">
        <f t="shared" si="5"/>
        <v>0</v>
      </c>
      <c r="BC10" s="22">
        <f t="shared" si="5"/>
        <v>0</v>
      </c>
      <c r="BD10" s="22">
        <f t="shared" si="5"/>
        <v>0</v>
      </c>
      <c r="BE10" s="22">
        <f t="shared" si="5"/>
        <v>0</v>
      </c>
      <c r="BF10" s="22">
        <f t="shared" si="5"/>
        <v>0</v>
      </c>
      <c r="BG10" s="22">
        <f t="shared" si="5"/>
        <v>0</v>
      </c>
      <c r="BH10" s="22">
        <f t="shared" si="5"/>
        <v>0</v>
      </c>
      <c r="BI10" s="22">
        <f t="shared" si="5"/>
        <v>0</v>
      </c>
      <c r="BJ10" s="22">
        <f t="shared" si="5"/>
        <v>0</v>
      </c>
      <c r="BK10" s="22">
        <f t="shared" si="5"/>
        <v>0</v>
      </c>
      <c r="BL10" s="22">
        <f t="shared" si="5"/>
        <v>0</v>
      </c>
      <c r="BM10" s="22">
        <f t="shared" si="5"/>
        <v>0</v>
      </c>
      <c r="BN10" s="22">
        <f t="shared" si="5"/>
        <v>0</v>
      </c>
      <c r="BO10" s="22">
        <f t="shared" si="5"/>
        <v>0</v>
      </c>
      <c r="BP10" s="22">
        <f t="shared" si="6"/>
        <v>0</v>
      </c>
      <c r="BQ10" s="22">
        <f t="shared" si="6"/>
        <v>0</v>
      </c>
      <c r="BR10" s="22">
        <f t="shared" si="6"/>
        <v>0</v>
      </c>
      <c r="BS10" s="22">
        <f t="shared" si="6"/>
        <v>0</v>
      </c>
      <c r="BT10" s="23">
        <f t="shared" si="7"/>
        <v>0.4425</v>
      </c>
      <c r="BU10" s="22">
        <f t="shared" si="8"/>
        <v>13275000</v>
      </c>
      <c r="BV10" s="22"/>
      <c r="BW10" s="22">
        <f>+'[6]JULIO 2017'!$H$413</f>
        <v>13275000</v>
      </c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3">
        <f t="shared" si="9"/>
        <v>0.5575</v>
      </c>
      <c r="CQ10" s="22">
        <f t="shared" si="10"/>
        <v>16725000</v>
      </c>
      <c r="CR10" s="22">
        <f t="shared" si="14"/>
        <v>0</v>
      </c>
      <c r="CS10" s="22">
        <f t="shared" si="11"/>
        <v>16725000</v>
      </c>
      <c r="CT10" s="22">
        <f t="shared" si="11"/>
        <v>0</v>
      </c>
      <c r="CU10" s="22">
        <f t="shared" si="11"/>
        <v>0</v>
      </c>
      <c r="CV10" s="22">
        <f t="shared" si="11"/>
        <v>0</v>
      </c>
      <c r="CW10" s="22">
        <f t="shared" si="11"/>
        <v>0</v>
      </c>
      <c r="CX10" s="22">
        <f t="shared" si="11"/>
        <v>0</v>
      </c>
      <c r="CY10" s="22">
        <f t="shared" si="11"/>
        <v>0</v>
      </c>
      <c r="CZ10" s="22">
        <f t="shared" si="11"/>
        <v>0</v>
      </c>
      <c r="DA10" s="22">
        <f t="shared" si="11"/>
        <v>0</v>
      </c>
      <c r="DB10" s="22">
        <f t="shared" si="11"/>
        <v>0</v>
      </c>
      <c r="DC10" s="22">
        <f t="shared" si="11"/>
        <v>0</v>
      </c>
      <c r="DD10" s="22">
        <f t="shared" si="11"/>
        <v>0</v>
      </c>
      <c r="DE10" s="22">
        <f t="shared" si="11"/>
        <v>0</v>
      </c>
      <c r="DF10" s="22">
        <f t="shared" si="11"/>
        <v>0</v>
      </c>
      <c r="DG10" s="22">
        <f t="shared" si="11"/>
        <v>0</v>
      </c>
      <c r="DH10" s="22">
        <f t="shared" si="11"/>
        <v>0</v>
      </c>
      <c r="DI10" s="22">
        <f t="shared" si="12"/>
        <v>0</v>
      </c>
      <c r="DJ10" s="22">
        <f t="shared" si="12"/>
        <v>0</v>
      </c>
      <c r="DK10" s="22">
        <f t="shared" si="12"/>
        <v>0</v>
      </c>
      <c r="DM10" s="26">
        <f t="shared" si="15"/>
        <v>30000000</v>
      </c>
      <c r="DN10" s="26">
        <f t="shared" si="16"/>
        <v>30000000</v>
      </c>
      <c r="DO10" s="26">
        <f t="shared" si="13"/>
        <v>30000000</v>
      </c>
    </row>
    <row r="11" spans="1:121" ht="46.5" customHeight="1" x14ac:dyDescent="0.25">
      <c r="A11" s="27"/>
      <c r="B11" s="182"/>
      <c r="C11" s="18" t="s">
        <v>69</v>
      </c>
      <c r="D11" s="19" t="s">
        <v>70</v>
      </c>
      <c r="E11" s="20">
        <v>310</v>
      </c>
      <c r="F11" s="21" t="s">
        <v>56</v>
      </c>
      <c r="G11" s="22">
        <f t="shared" si="0"/>
        <v>23240492</v>
      </c>
      <c r="H11" s="33"/>
      <c r="I11" s="22"/>
      <c r="J11" s="33"/>
      <c r="K11" s="22">
        <v>23240492</v>
      </c>
      <c r="L11" s="33"/>
      <c r="M11" s="22"/>
      <c r="N11" s="22"/>
      <c r="O11" s="33"/>
      <c r="P11" s="25"/>
      <c r="Q11" s="25"/>
      <c r="R11" s="25"/>
      <c r="S11" s="25"/>
      <c r="T11" s="25"/>
      <c r="U11" s="22"/>
      <c r="V11" s="33"/>
      <c r="W11" s="33"/>
      <c r="X11" s="33"/>
      <c r="Y11" s="33"/>
      <c r="Z11" s="33"/>
      <c r="AA11" s="33"/>
      <c r="AB11" s="23">
        <f t="shared" si="1"/>
        <v>1</v>
      </c>
      <c r="AC11" s="22">
        <f t="shared" si="2"/>
        <v>23240492</v>
      </c>
      <c r="AD11" s="22"/>
      <c r="AE11" s="22"/>
      <c r="AF11" s="22"/>
      <c r="AG11" s="22">
        <f>+'[2]FEBRERO 2017'!$L$180</f>
        <v>23240492</v>
      </c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>
        <f t="shared" si="3"/>
        <v>0</v>
      </c>
      <c r="AY11" s="22">
        <f t="shared" si="4"/>
        <v>0</v>
      </c>
      <c r="AZ11" s="22">
        <f t="shared" si="5"/>
        <v>0</v>
      </c>
      <c r="BA11" s="22">
        <f t="shared" si="5"/>
        <v>0</v>
      </c>
      <c r="BB11" s="22">
        <f t="shared" si="5"/>
        <v>0</v>
      </c>
      <c r="BC11" s="22">
        <f t="shared" si="5"/>
        <v>0</v>
      </c>
      <c r="BD11" s="22">
        <f t="shared" si="5"/>
        <v>0</v>
      </c>
      <c r="BE11" s="22">
        <f t="shared" si="5"/>
        <v>0</v>
      </c>
      <c r="BF11" s="22">
        <f t="shared" si="5"/>
        <v>0</v>
      </c>
      <c r="BG11" s="22">
        <f t="shared" si="5"/>
        <v>0</v>
      </c>
      <c r="BH11" s="22">
        <f t="shared" si="5"/>
        <v>0</v>
      </c>
      <c r="BI11" s="22">
        <f t="shared" si="5"/>
        <v>0</v>
      </c>
      <c r="BJ11" s="22">
        <f t="shared" si="5"/>
        <v>0</v>
      </c>
      <c r="BK11" s="22">
        <f t="shared" si="5"/>
        <v>0</v>
      </c>
      <c r="BL11" s="22">
        <f t="shared" si="5"/>
        <v>0</v>
      </c>
      <c r="BM11" s="22">
        <f t="shared" si="5"/>
        <v>0</v>
      </c>
      <c r="BN11" s="22">
        <f t="shared" si="5"/>
        <v>0</v>
      </c>
      <c r="BO11" s="22">
        <f t="shared" si="5"/>
        <v>0</v>
      </c>
      <c r="BP11" s="22">
        <f t="shared" si="6"/>
        <v>0</v>
      </c>
      <c r="BQ11" s="22">
        <f t="shared" si="6"/>
        <v>0</v>
      </c>
      <c r="BR11" s="22">
        <f t="shared" si="6"/>
        <v>0</v>
      </c>
      <c r="BS11" s="22">
        <f t="shared" si="6"/>
        <v>0</v>
      </c>
      <c r="BT11" s="23">
        <f t="shared" si="7"/>
        <v>0</v>
      </c>
      <c r="BU11" s="22">
        <f t="shared" si="8"/>
        <v>0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3">
        <f t="shared" si="9"/>
        <v>1</v>
      </c>
      <c r="CQ11" s="22">
        <f t="shared" si="10"/>
        <v>23240492</v>
      </c>
      <c r="CR11" s="22">
        <f t="shared" si="14"/>
        <v>0</v>
      </c>
      <c r="CS11" s="22">
        <f t="shared" si="11"/>
        <v>0</v>
      </c>
      <c r="CT11" s="22">
        <f t="shared" si="11"/>
        <v>0</v>
      </c>
      <c r="CU11" s="22">
        <f t="shared" si="11"/>
        <v>23240492</v>
      </c>
      <c r="CV11" s="22">
        <f t="shared" si="11"/>
        <v>0</v>
      </c>
      <c r="CW11" s="22">
        <f t="shared" si="11"/>
        <v>0</v>
      </c>
      <c r="CX11" s="22">
        <f t="shared" si="11"/>
        <v>0</v>
      </c>
      <c r="CY11" s="22">
        <f t="shared" si="11"/>
        <v>0</v>
      </c>
      <c r="CZ11" s="22">
        <f t="shared" si="11"/>
        <v>0</v>
      </c>
      <c r="DA11" s="22">
        <f t="shared" si="11"/>
        <v>0</v>
      </c>
      <c r="DB11" s="22">
        <f t="shared" si="11"/>
        <v>0</v>
      </c>
      <c r="DC11" s="22">
        <f t="shared" si="11"/>
        <v>0</v>
      </c>
      <c r="DD11" s="22">
        <f t="shared" si="11"/>
        <v>0</v>
      </c>
      <c r="DE11" s="22">
        <f t="shared" si="11"/>
        <v>0</v>
      </c>
      <c r="DF11" s="22">
        <f t="shared" si="11"/>
        <v>0</v>
      </c>
      <c r="DG11" s="22">
        <f t="shared" si="11"/>
        <v>0</v>
      </c>
      <c r="DH11" s="22">
        <f t="shared" si="11"/>
        <v>0</v>
      </c>
      <c r="DI11" s="22">
        <f t="shared" si="12"/>
        <v>0</v>
      </c>
      <c r="DJ11" s="22">
        <f t="shared" si="12"/>
        <v>0</v>
      </c>
      <c r="DK11" s="22">
        <f t="shared" si="12"/>
        <v>0</v>
      </c>
      <c r="DM11" s="26">
        <f t="shared" si="15"/>
        <v>23240492</v>
      </c>
      <c r="DN11" s="26">
        <f t="shared" si="16"/>
        <v>23240492</v>
      </c>
      <c r="DO11" s="26">
        <f t="shared" si="13"/>
        <v>23240492</v>
      </c>
    </row>
    <row r="12" spans="1:121" ht="78" customHeight="1" x14ac:dyDescent="0.25">
      <c r="A12" s="27"/>
      <c r="B12" s="36" t="s">
        <v>71</v>
      </c>
      <c r="C12" s="30" t="s">
        <v>72</v>
      </c>
      <c r="D12" s="19" t="s">
        <v>73</v>
      </c>
      <c r="E12" s="20">
        <v>510</v>
      </c>
      <c r="F12" s="21" t="s">
        <v>74</v>
      </c>
      <c r="G12" s="22">
        <f t="shared" si="0"/>
        <v>367600000</v>
      </c>
      <c r="H12" s="22"/>
      <c r="I12" s="22">
        <v>140000000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>
        <v>150000000</v>
      </c>
      <c r="V12" s="22"/>
      <c r="W12" s="22"/>
      <c r="X12" s="22"/>
      <c r="Y12" s="22"/>
      <c r="Z12" s="22"/>
      <c r="AA12" s="22">
        <f>70600000+4000000+3000000+10000000-10000000</f>
        <v>77600000</v>
      </c>
      <c r="AB12" s="23">
        <f t="shared" si="1"/>
        <v>0.94446875136017405</v>
      </c>
      <c r="AC12" s="22">
        <f t="shared" si="2"/>
        <v>347186713</v>
      </c>
      <c r="AD12" s="22"/>
      <c r="AE12" s="22">
        <f>+'[1]ENERO 2017'!$K$549</f>
        <v>140000000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>
        <f>+'[2]FEBRERO 2017'!$W$856</f>
        <v>150000000</v>
      </c>
      <c r="AR12" s="22"/>
      <c r="AS12" s="22"/>
      <c r="AT12" s="22"/>
      <c r="AU12" s="22"/>
      <c r="AV12" s="22"/>
      <c r="AW12" s="22">
        <f>+'[5]AGOSTO 2017'!$AC$2319</f>
        <v>57186713</v>
      </c>
      <c r="AX12" s="23">
        <f t="shared" si="3"/>
        <v>5.5531248639825947E-2</v>
      </c>
      <c r="AY12" s="22">
        <f t="shared" si="4"/>
        <v>20413287</v>
      </c>
      <c r="AZ12" s="22">
        <f t="shared" si="5"/>
        <v>0</v>
      </c>
      <c r="BA12" s="22">
        <f t="shared" si="5"/>
        <v>0</v>
      </c>
      <c r="BB12" s="22">
        <f t="shared" si="5"/>
        <v>0</v>
      </c>
      <c r="BC12" s="22">
        <f t="shared" si="5"/>
        <v>0</v>
      </c>
      <c r="BD12" s="22">
        <f t="shared" si="5"/>
        <v>0</v>
      </c>
      <c r="BE12" s="22">
        <f t="shared" si="5"/>
        <v>0</v>
      </c>
      <c r="BF12" s="22">
        <f t="shared" si="5"/>
        <v>0</v>
      </c>
      <c r="BG12" s="22">
        <f t="shared" si="5"/>
        <v>0</v>
      </c>
      <c r="BH12" s="22">
        <f t="shared" si="5"/>
        <v>0</v>
      </c>
      <c r="BI12" s="22">
        <f t="shared" si="5"/>
        <v>0</v>
      </c>
      <c r="BJ12" s="22">
        <f t="shared" si="5"/>
        <v>0</v>
      </c>
      <c r="BK12" s="22">
        <f t="shared" si="5"/>
        <v>0</v>
      </c>
      <c r="BL12" s="22">
        <f t="shared" si="5"/>
        <v>0</v>
      </c>
      <c r="BM12" s="22">
        <f t="shared" si="5"/>
        <v>0</v>
      </c>
      <c r="BN12" s="22">
        <f t="shared" si="5"/>
        <v>0</v>
      </c>
      <c r="BO12" s="22">
        <f t="shared" si="5"/>
        <v>0</v>
      </c>
      <c r="BP12" s="22">
        <f t="shared" si="6"/>
        <v>0</v>
      </c>
      <c r="BQ12" s="22">
        <f t="shared" si="6"/>
        <v>0</v>
      </c>
      <c r="BR12" s="22">
        <f t="shared" si="6"/>
        <v>0</v>
      </c>
      <c r="BS12" s="22">
        <f t="shared" si="6"/>
        <v>20413287</v>
      </c>
      <c r="BT12" s="23">
        <f t="shared" si="7"/>
        <v>0.72308786724700758</v>
      </c>
      <c r="BU12" s="22">
        <f t="shared" si="8"/>
        <v>265807100</v>
      </c>
      <c r="BV12" s="22"/>
      <c r="BW12" s="22">
        <f>+'[5]AGOSTO 2017'!$H$2323</f>
        <v>96774343</v>
      </c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>
        <f>+'[5]AGOSTO 2017'!$H$2347</f>
        <v>114846044</v>
      </c>
      <c r="CJ12" s="22"/>
      <c r="CK12" s="22"/>
      <c r="CL12" s="22"/>
      <c r="CM12" s="22"/>
      <c r="CN12" s="22"/>
      <c r="CO12" s="22">
        <f>+'[5]AGOSTO 2017'!$H$2320+'[5]AGOSTO 2017'!$H$2339+'[5]AGOSTO 2017'!$H$2341+'[5]AGOSTO 2017'!$H$2344+'[5]AGOSTO 2017'!$H$2345+'[5]AGOSTO 2017'!$H$2346+'[5]AGOSTO 2017'!$H$2380+'[5]AGOSTO 2017'!$H$2381+'[5]AGOSTO 2017'!$H$2383+'[5]AGOSTO 2017'!$H$2384+'[5]AGOSTO 2017'!$H$2386+'[5]AGOSTO 2017'!$H$2388+'[5]AGOSTO 2017'!$H$2390+'[5]AGOSTO 2017'!$H$2392+'[5]AGOSTO 2017'!$H$2394+'[5]AGOSTO 2017'!$H$2395+'[5]AGOSTO 2017'!$H$2396+'[5]AGOSTO 2017'!$H$2398+'[5]AGOSTO 2017'!$H$2400+'[5]AGOSTO 2017'!$H$2401+'[5]AGOSTO 2017'!$H$2403</f>
        <v>54186713</v>
      </c>
      <c r="CP12" s="23">
        <f t="shared" si="9"/>
        <v>0.27691213275299242</v>
      </c>
      <c r="CQ12" s="22">
        <f t="shared" si="10"/>
        <v>101792900</v>
      </c>
      <c r="CR12" s="22">
        <f t="shared" si="14"/>
        <v>0</v>
      </c>
      <c r="CS12" s="22">
        <f t="shared" si="11"/>
        <v>43225657</v>
      </c>
      <c r="CT12" s="22">
        <f t="shared" si="11"/>
        <v>0</v>
      </c>
      <c r="CU12" s="22">
        <f t="shared" si="11"/>
        <v>0</v>
      </c>
      <c r="CV12" s="22">
        <f t="shared" si="11"/>
        <v>0</v>
      </c>
      <c r="CW12" s="22">
        <f t="shared" si="11"/>
        <v>0</v>
      </c>
      <c r="CX12" s="22">
        <f t="shared" si="11"/>
        <v>0</v>
      </c>
      <c r="CY12" s="22">
        <f t="shared" si="11"/>
        <v>0</v>
      </c>
      <c r="CZ12" s="22">
        <f t="shared" si="11"/>
        <v>0</v>
      </c>
      <c r="DA12" s="22">
        <f t="shared" si="11"/>
        <v>0</v>
      </c>
      <c r="DB12" s="22">
        <f t="shared" si="11"/>
        <v>0</v>
      </c>
      <c r="DC12" s="22">
        <f t="shared" si="11"/>
        <v>0</v>
      </c>
      <c r="DD12" s="22">
        <f t="shared" si="11"/>
        <v>0</v>
      </c>
      <c r="DE12" s="22">
        <f t="shared" si="11"/>
        <v>35153956</v>
      </c>
      <c r="DF12" s="22">
        <f t="shared" si="11"/>
        <v>0</v>
      </c>
      <c r="DG12" s="22">
        <f t="shared" si="11"/>
        <v>0</v>
      </c>
      <c r="DH12" s="22">
        <f t="shared" si="11"/>
        <v>0</v>
      </c>
      <c r="DI12" s="22">
        <f t="shared" si="12"/>
        <v>0</v>
      </c>
      <c r="DJ12" s="22">
        <f t="shared" si="12"/>
        <v>0</v>
      </c>
      <c r="DK12" s="22">
        <f t="shared" si="12"/>
        <v>23413287</v>
      </c>
      <c r="DM12" s="26">
        <f t="shared" si="15"/>
        <v>367600000</v>
      </c>
      <c r="DN12" s="26">
        <f t="shared" si="16"/>
        <v>367600000</v>
      </c>
      <c r="DO12" s="26">
        <f t="shared" si="13"/>
        <v>367600000</v>
      </c>
    </row>
    <row r="13" spans="1:121" ht="35.25" customHeight="1" x14ac:dyDescent="0.25">
      <c r="A13" s="27"/>
      <c r="B13" s="34"/>
      <c r="C13" s="18" t="s">
        <v>75</v>
      </c>
      <c r="D13" s="19" t="s">
        <v>76</v>
      </c>
      <c r="E13" s="20">
        <v>510</v>
      </c>
      <c r="F13" s="21" t="s">
        <v>56</v>
      </c>
      <c r="G13" s="22">
        <f t="shared" si="0"/>
        <v>100000000</v>
      </c>
      <c r="H13" s="22"/>
      <c r="I13" s="22"/>
      <c r="J13" s="22">
        <v>50000000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>
        <v>50000000</v>
      </c>
      <c r="V13" s="22"/>
      <c r="W13" s="22"/>
      <c r="X13" s="22"/>
      <c r="Y13" s="22"/>
      <c r="Z13" s="22"/>
      <c r="AA13" s="22"/>
      <c r="AB13" s="23">
        <f t="shared" si="1"/>
        <v>1</v>
      </c>
      <c r="AC13" s="22">
        <f t="shared" si="2"/>
        <v>100000000</v>
      </c>
      <c r="AD13" s="22"/>
      <c r="AE13" s="22"/>
      <c r="AF13" s="22">
        <f>+'[1]ENERO 2017'!$L$565</f>
        <v>50000000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>
        <f>+'[2]FEBRERO 2017'!$W$879</f>
        <v>50000000</v>
      </c>
      <c r="AR13" s="22"/>
      <c r="AS13" s="22"/>
      <c r="AT13" s="22"/>
      <c r="AU13" s="22"/>
      <c r="AV13" s="22"/>
      <c r="AW13" s="22"/>
      <c r="AX13" s="23">
        <f t="shared" si="3"/>
        <v>0</v>
      </c>
      <c r="AY13" s="22">
        <f t="shared" si="4"/>
        <v>0</v>
      </c>
      <c r="AZ13" s="22">
        <f t="shared" si="5"/>
        <v>0</v>
      </c>
      <c r="BA13" s="22">
        <f t="shared" si="5"/>
        <v>0</v>
      </c>
      <c r="BB13" s="22">
        <f t="shared" si="5"/>
        <v>0</v>
      </c>
      <c r="BC13" s="22">
        <f t="shared" si="5"/>
        <v>0</v>
      </c>
      <c r="BD13" s="22">
        <f t="shared" si="5"/>
        <v>0</v>
      </c>
      <c r="BE13" s="22">
        <f t="shared" si="5"/>
        <v>0</v>
      </c>
      <c r="BF13" s="22">
        <f t="shared" si="5"/>
        <v>0</v>
      </c>
      <c r="BG13" s="22">
        <f t="shared" si="5"/>
        <v>0</v>
      </c>
      <c r="BH13" s="22">
        <f t="shared" si="5"/>
        <v>0</v>
      </c>
      <c r="BI13" s="22">
        <f t="shared" si="5"/>
        <v>0</v>
      </c>
      <c r="BJ13" s="22">
        <f t="shared" si="5"/>
        <v>0</v>
      </c>
      <c r="BK13" s="22">
        <f t="shared" si="5"/>
        <v>0</v>
      </c>
      <c r="BL13" s="22">
        <f t="shared" si="5"/>
        <v>0</v>
      </c>
      <c r="BM13" s="22">
        <f t="shared" si="5"/>
        <v>0</v>
      </c>
      <c r="BN13" s="22">
        <f t="shared" si="5"/>
        <v>0</v>
      </c>
      <c r="BO13" s="22">
        <f t="shared" si="5"/>
        <v>0</v>
      </c>
      <c r="BP13" s="22">
        <f t="shared" si="6"/>
        <v>0</v>
      </c>
      <c r="BQ13" s="22">
        <f t="shared" si="6"/>
        <v>0</v>
      </c>
      <c r="BR13" s="22">
        <f t="shared" si="6"/>
        <v>0</v>
      </c>
      <c r="BS13" s="22">
        <f t="shared" si="6"/>
        <v>0</v>
      </c>
      <c r="BT13" s="23">
        <f t="shared" si="7"/>
        <v>0.60482608999999998</v>
      </c>
      <c r="BU13" s="22">
        <f t="shared" si="8"/>
        <v>60482609</v>
      </c>
      <c r="BV13" s="22"/>
      <c r="BW13" s="22"/>
      <c r="BX13" s="22">
        <f>+'[5]AGOSTO 2017'!$H$2411</f>
        <v>45843057</v>
      </c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>
        <f>+'[5]AGOSTO 2017'!$H$2452</f>
        <v>14639552</v>
      </c>
      <c r="CJ13" s="22"/>
      <c r="CK13" s="22"/>
      <c r="CL13" s="22"/>
      <c r="CM13" s="22"/>
      <c r="CN13" s="22"/>
      <c r="CO13" s="22"/>
      <c r="CP13" s="23">
        <f t="shared" si="9"/>
        <v>0.39517391000000002</v>
      </c>
      <c r="CQ13" s="22">
        <f t="shared" si="10"/>
        <v>39517391</v>
      </c>
      <c r="CR13" s="22">
        <f t="shared" si="14"/>
        <v>0</v>
      </c>
      <c r="CS13" s="22">
        <f t="shared" si="11"/>
        <v>0</v>
      </c>
      <c r="CT13" s="22">
        <f t="shared" si="11"/>
        <v>4156943</v>
      </c>
      <c r="CU13" s="22">
        <f t="shared" si="11"/>
        <v>0</v>
      </c>
      <c r="CV13" s="22">
        <f t="shared" si="11"/>
        <v>0</v>
      </c>
      <c r="CW13" s="22">
        <f t="shared" si="11"/>
        <v>0</v>
      </c>
      <c r="CX13" s="22">
        <f t="shared" si="11"/>
        <v>0</v>
      </c>
      <c r="CY13" s="22">
        <f t="shared" si="11"/>
        <v>0</v>
      </c>
      <c r="CZ13" s="22">
        <f t="shared" si="11"/>
        <v>0</v>
      </c>
      <c r="DA13" s="22">
        <f t="shared" si="11"/>
        <v>0</v>
      </c>
      <c r="DB13" s="22">
        <f t="shared" si="11"/>
        <v>0</v>
      </c>
      <c r="DC13" s="22">
        <f t="shared" si="11"/>
        <v>0</v>
      </c>
      <c r="DD13" s="22">
        <f t="shared" si="11"/>
        <v>0</v>
      </c>
      <c r="DE13" s="22">
        <f t="shared" si="11"/>
        <v>35360448</v>
      </c>
      <c r="DF13" s="22">
        <f t="shared" si="11"/>
        <v>0</v>
      </c>
      <c r="DG13" s="22">
        <f t="shared" si="11"/>
        <v>0</v>
      </c>
      <c r="DH13" s="22">
        <f t="shared" si="11"/>
        <v>0</v>
      </c>
      <c r="DI13" s="22">
        <f t="shared" si="12"/>
        <v>0</v>
      </c>
      <c r="DJ13" s="22">
        <f t="shared" si="12"/>
        <v>0</v>
      </c>
      <c r="DK13" s="22">
        <f t="shared" si="12"/>
        <v>0</v>
      </c>
      <c r="DM13" s="26">
        <f t="shared" si="15"/>
        <v>100000000</v>
      </c>
      <c r="DN13" s="26">
        <f t="shared" si="16"/>
        <v>100000000</v>
      </c>
      <c r="DO13" s="26">
        <f t="shared" si="13"/>
        <v>100000000</v>
      </c>
    </row>
    <row r="14" spans="1:121" ht="47.25" customHeight="1" x14ac:dyDescent="0.25">
      <c r="A14" s="27"/>
      <c r="B14" s="34"/>
      <c r="C14" s="18" t="s">
        <v>77</v>
      </c>
      <c r="D14" s="19" t="s">
        <v>78</v>
      </c>
      <c r="E14" s="20">
        <v>510</v>
      </c>
      <c r="F14" s="21" t="s">
        <v>56</v>
      </c>
      <c r="G14" s="22">
        <f t="shared" si="0"/>
        <v>75092920</v>
      </c>
      <c r="H14" s="22"/>
      <c r="I14" s="22"/>
      <c r="J14" s="22">
        <v>50000000</v>
      </c>
      <c r="K14" s="22">
        <v>25092920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3">
        <f t="shared" si="1"/>
        <v>1</v>
      </c>
      <c r="AC14" s="22">
        <f t="shared" si="2"/>
        <v>75092920</v>
      </c>
      <c r="AD14" s="22"/>
      <c r="AE14" s="22"/>
      <c r="AF14" s="22">
        <f>+'[4]MAYO 2017'!$L$1270</f>
        <v>50000000</v>
      </c>
      <c r="AG14" s="22">
        <f>+'[2]FEBRERO 2017'!$L$887</f>
        <v>25092920</v>
      </c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3">
        <f t="shared" si="3"/>
        <v>0</v>
      </c>
      <c r="AY14" s="22">
        <f t="shared" si="4"/>
        <v>0</v>
      </c>
      <c r="AZ14" s="22">
        <f t="shared" si="5"/>
        <v>0</v>
      </c>
      <c r="BA14" s="22">
        <f t="shared" si="5"/>
        <v>0</v>
      </c>
      <c r="BB14" s="22">
        <f t="shared" si="5"/>
        <v>0</v>
      </c>
      <c r="BC14" s="22">
        <f t="shared" si="5"/>
        <v>0</v>
      </c>
      <c r="BD14" s="22">
        <f t="shared" si="5"/>
        <v>0</v>
      </c>
      <c r="BE14" s="22">
        <f t="shared" si="5"/>
        <v>0</v>
      </c>
      <c r="BF14" s="22">
        <f t="shared" si="5"/>
        <v>0</v>
      </c>
      <c r="BG14" s="22">
        <f t="shared" si="5"/>
        <v>0</v>
      </c>
      <c r="BH14" s="22">
        <f t="shared" si="5"/>
        <v>0</v>
      </c>
      <c r="BI14" s="22">
        <f t="shared" si="5"/>
        <v>0</v>
      </c>
      <c r="BJ14" s="22">
        <f t="shared" si="5"/>
        <v>0</v>
      </c>
      <c r="BK14" s="22">
        <f t="shared" si="5"/>
        <v>0</v>
      </c>
      <c r="BL14" s="22">
        <f t="shared" si="5"/>
        <v>0</v>
      </c>
      <c r="BM14" s="22">
        <f t="shared" si="5"/>
        <v>0</v>
      </c>
      <c r="BN14" s="22">
        <f t="shared" si="5"/>
        <v>0</v>
      </c>
      <c r="BO14" s="22">
        <f t="shared" si="5"/>
        <v>0</v>
      </c>
      <c r="BP14" s="22">
        <f t="shared" si="6"/>
        <v>0</v>
      </c>
      <c r="BQ14" s="22">
        <f t="shared" si="6"/>
        <v>0</v>
      </c>
      <c r="BR14" s="22">
        <f t="shared" si="6"/>
        <v>0</v>
      </c>
      <c r="BS14" s="22">
        <f t="shared" si="6"/>
        <v>0</v>
      </c>
      <c r="BT14" s="23">
        <f t="shared" si="7"/>
        <v>0.25091376124406933</v>
      </c>
      <c r="BU14" s="22">
        <f t="shared" si="8"/>
        <v>18841847</v>
      </c>
      <c r="BV14" s="22"/>
      <c r="BW14" s="22"/>
      <c r="BX14" s="22"/>
      <c r="BY14" s="22">
        <f>+'[5]AGOSTO 2017'!$H$2461</f>
        <v>18841847</v>
      </c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3">
        <f t="shared" si="9"/>
        <v>0.74908623875593072</v>
      </c>
      <c r="CQ14" s="22">
        <f t="shared" si="10"/>
        <v>56251073</v>
      </c>
      <c r="CR14" s="22">
        <f t="shared" si="14"/>
        <v>0</v>
      </c>
      <c r="CS14" s="22">
        <f t="shared" si="11"/>
        <v>0</v>
      </c>
      <c r="CT14" s="22">
        <f t="shared" si="11"/>
        <v>50000000</v>
      </c>
      <c r="CU14" s="22">
        <f t="shared" si="11"/>
        <v>6251073</v>
      </c>
      <c r="CV14" s="22">
        <f t="shared" si="11"/>
        <v>0</v>
      </c>
      <c r="CW14" s="22">
        <f t="shared" si="11"/>
        <v>0</v>
      </c>
      <c r="CX14" s="22">
        <f t="shared" si="11"/>
        <v>0</v>
      </c>
      <c r="CY14" s="22">
        <f t="shared" si="11"/>
        <v>0</v>
      </c>
      <c r="CZ14" s="22">
        <f t="shared" si="11"/>
        <v>0</v>
      </c>
      <c r="DA14" s="22">
        <f t="shared" si="11"/>
        <v>0</v>
      </c>
      <c r="DB14" s="22">
        <f t="shared" si="11"/>
        <v>0</v>
      </c>
      <c r="DC14" s="22">
        <f t="shared" si="11"/>
        <v>0</v>
      </c>
      <c r="DD14" s="22">
        <f t="shared" si="11"/>
        <v>0</v>
      </c>
      <c r="DE14" s="22">
        <f t="shared" si="11"/>
        <v>0</v>
      </c>
      <c r="DF14" s="22">
        <f t="shared" si="11"/>
        <v>0</v>
      </c>
      <c r="DG14" s="22">
        <f t="shared" si="11"/>
        <v>0</v>
      </c>
      <c r="DH14" s="22">
        <f t="shared" si="11"/>
        <v>0</v>
      </c>
      <c r="DI14" s="22">
        <f t="shared" si="12"/>
        <v>0</v>
      </c>
      <c r="DJ14" s="22">
        <f t="shared" si="12"/>
        <v>0</v>
      </c>
      <c r="DK14" s="22">
        <f t="shared" si="12"/>
        <v>0</v>
      </c>
      <c r="DM14" s="26">
        <f t="shared" si="15"/>
        <v>75092920</v>
      </c>
      <c r="DN14" s="26">
        <f t="shared" si="16"/>
        <v>75092920</v>
      </c>
      <c r="DO14" s="26">
        <f t="shared" si="13"/>
        <v>75092920</v>
      </c>
    </row>
    <row r="15" spans="1:121" ht="33" customHeight="1" x14ac:dyDescent="0.25">
      <c r="A15" s="27"/>
      <c r="B15" s="34"/>
      <c r="C15" s="18" t="s">
        <v>79</v>
      </c>
      <c r="D15" s="19" t="s">
        <v>80</v>
      </c>
      <c r="E15" s="20">
        <v>510</v>
      </c>
      <c r="F15" s="21" t="s">
        <v>56</v>
      </c>
      <c r="G15" s="22">
        <f t="shared" si="0"/>
        <v>103646000</v>
      </c>
      <c r="H15" s="22"/>
      <c r="I15" s="22"/>
      <c r="J15" s="22">
        <v>80000000</v>
      </c>
      <c r="K15" s="22">
        <v>23646000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3">
        <f t="shared" si="1"/>
        <v>1</v>
      </c>
      <c r="AC15" s="22">
        <f t="shared" si="2"/>
        <v>103646000</v>
      </c>
      <c r="AD15" s="22"/>
      <c r="AE15" s="22"/>
      <c r="AF15" s="22">
        <f>+'[1]ENERO 2017'!$L$579</f>
        <v>80000000</v>
      </c>
      <c r="AG15" s="22">
        <v>23646000</v>
      </c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3">
        <f>1-AB15</f>
        <v>0</v>
      </c>
      <c r="AY15" s="22">
        <f t="shared" si="4"/>
        <v>0</v>
      </c>
      <c r="AZ15" s="22">
        <f t="shared" si="5"/>
        <v>0</v>
      </c>
      <c r="BA15" s="22">
        <f t="shared" si="5"/>
        <v>0</v>
      </c>
      <c r="BB15" s="22">
        <f t="shared" si="5"/>
        <v>0</v>
      </c>
      <c r="BC15" s="22">
        <f t="shared" si="5"/>
        <v>0</v>
      </c>
      <c r="BD15" s="22">
        <f t="shared" si="5"/>
        <v>0</v>
      </c>
      <c r="BE15" s="22">
        <f t="shared" si="5"/>
        <v>0</v>
      </c>
      <c r="BF15" s="22">
        <f t="shared" si="5"/>
        <v>0</v>
      </c>
      <c r="BG15" s="22">
        <f t="shared" si="5"/>
        <v>0</v>
      </c>
      <c r="BH15" s="22">
        <f t="shared" si="5"/>
        <v>0</v>
      </c>
      <c r="BI15" s="22">
        <f t="shared" si="5"/>
        <v>0</v>
      </c>
      <c r="BJ15" s="22">
        <f t="shared" si="5"/>
        <v>0</v>
      </c>
      <c r="BK15" s="22">
        <f t="shared" si="5"/>
        <v>0</v>
      </c>
      <c r="BL15" s="22">
        <f t="shared" si="5"/>
        <v>0</v>
      </c>
      <c r="BM15" s="22">
        <f t="shared" si="5"/>
        <v>0</v>
      </c>
      <c r="BN15" s="22">
        <f t="shared" si="5"/>
        <v>0</v>
      </c>
      <c r="BO15" s="22">
        <f t="shared" si="5"/>
        <v>0</v>
      </c>
      <c r="BP15" s="22">
        <f t="shared" si="6"/>
        <v>0</v>
      </c>
      <c r="BQ15" s="22">
        <f t="shared" si="6"/>
        <v>0</v>
      </c>
      <c r="BR15" s="22">
        <f t="shared" si="6"/>
        <v>0</v>
      </c>
      <c r="BS15" s="22">
        <f t="shared" si="6"/>
        <v>0</v>
      </c>
      <c r="BT15" s="23">
        <f t="shared" si="7"/>
        <v>0.65871728769079363</v>
      </c>
      <c r="BU15" s="22">
        <f t="shared" si="8"/>
        <v>68273412</v>
      </c>
      <c r="BV15" s="22"/>
      <c r="BW15" s="22"/>
      <c r="BX15" s="22">
        <f>+'[5]AGOSTO 2017'!$H$2468-BY15</f>
        <v>44627412</v>
      </c>
      <c r="BY15" s="22">
        <v>23646000</v>
      </c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3">
        <f t="shared" si="9"/>
        <v>0.34128271230920637</v>
      </c>
      <c r="CQ15" s="22">
        <f t="shared" si="10"/>
        <v>35372588</v>
      </c>
      <c r="CR15" s="22">
        <f t="shared" si="14"/>
        <v>0</v>
      </c>
      <c r="CS15" s="22">
        <f t="shared" si="11"/>
        <v>0</v>
      </c>
      <c r="CT15" s="22">
        <f t="shared" si="11"/>
        <v>35372588</v>
      </c>
      <c r="CU15" s="22">
        <f>K15-BY15</f>
        <v>0</v>
      </c>
      <c r="CV15" s="22">
        <f t="shared" si="11"/>
        <v>0</v>
      </c>
      <c r="CW15" s="22">
        <f t="shared" si="11"/>
        <v>0</v>
      </c>
      <c r="CX15" s="22">
        <f t="shared" si="11"/>
        <v>0</v>
      </c>
      <c r="CY15" s="22">
        <f t="shared" si="11"/>
        <v>0</v>
      </c>
      <c r="CZ15" s="22">
        <f t="shared" si="11"/>
        <v>0</v>
      </c>
      <c r="DA15" s="22">
        <f t="shared" si="11"/>
        <v>0</v>
      </c>
      <c r="DB15" s="22">
        <f t="shared" si="11"/>
        <v>0</v>
      </c>
      <c r="DC15" s="22">
        <f t="shared" si="11"/>
        <v>0</v>
      </c>
      <c r="DD15" s="22">
        <f t="shared" si="11"/>
        <v>0</v>
      </c>
      <c r="DE15" s="22">
        <f t="shared" si="11"/>
        <v>0</v>
      </c>
      <c r="DF15" s="22">
        <f t="shared" si="11"/>
        <v>0</v>
      </c>
      <c r="DG15" s="22">
        <f t="shared" si="11"/>
        <v>0</v>
      </c>
      <c r="DH15" s="22">
        <f t="shared" si="11"/>
        <v>0</v>
      </c>
      <c r="DI15" s="22">
        <f t="shared" si="12"/>
        <v>0</v>
      </c>
      <c r="DJ15" s="22">
        <f t="shared" si="12"/>
        <v>0</v>
      </c>
      <c r="DK15" s="22">
        <f t="shared" si="12"/>
        <v>0</v>
      </c>
      <c r="DM15" s="26">
        <f t="shared" si="15"/>
        <v>103646000</v>
      </c>
      <c r="DN15" s="26">
        <f t="shared" si="16"/>
        <v>103646000</v>
      </c>
      <c r="DO15" s="26">
        <f t="shared" si="13"/>
        <v>103646000</v>
      </c>
      <c r="DQ15" s="35"/>
    </row>
    <row r="16" spans="1:121" ht="32.25" customHeight="1" x14ac:dyDescent="0.25">
      <c r="A16" s="27"/>
      <c r="B16" s="34"/>
      <c r="C16" s="18" t="s">
        <v>81</v>
      </c>
      <c r="D16" s="19" t="s">
        <v>82</v>
      </c>
      <c r="E16" s="20">
        <v>510</v>
      </c>
      <c r="F16" s="21" t="s">
        <v>56</v>
      </c>
      <c r="G16" s="22">
        <f t="shared" si="0"/>
        <v>34000000</v>
      </c>
      <c r="H16" s="22"/>
      <c r="I16" s="22"/>
      <c r="J16" s="22">
        <v>34000000</v>
      </c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3">
        <f t="shared" si="1"/>
        <v>3.164705882352941E-2</v>
      </c>
      <c r="AC16" s="22">
        <f t="shared" si="2"/>
        <v>1076000</v>
      </c>
      <c r="AD16" s="22"/>
      <c r="AE16" s="22"/>
      <c r="AF16" s="22">
        <f>+'[2]FEBRERO 2017'!$L$911</f>
        <v>1076000</v>
      </c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>
        <f t="shared" si="3"/>
        <v>0.96835294117647064</v>
      </c>
      <c r="AY16" s="22">
        <f t="shared" ref="AY16:AY23" si="17">SUM(AZ16:BS16)</f>
        <v>32924000</v>
      </c>
      <c r="AZ16" s="22">
        <f t="shared" si="5"/>
        <v>0</v>
      </c>
      <c r="BA16" s="22">
        <f t="shared" si="5"/>
        <v>0</v>
      </c>
      <c r="BB16" s="22">
        <f t="shared" si="5"/>
        <v>32924000</v>
      </c>
      <c r="BC16" s="22">
        <f t="shared" si="5"/>
        <v>0</v>
      </c>
      <c r="BD16" s="22">
        <f t="shared" si="5"/>
        <v>0</v>
      </c>
      <c r="BE16" s="22">
        <f t="shared" si="5"/>
        <v>0</v>
      </c>
      <c r="BF16" s="22">
        <f t="shared" si="5"/>
        <v>0</v>
      </c>
      <c r="BG16" s="22">
        <f t="shared" si="5"/>
        <v>0</v>
      </c>
      <c r="BH16" s="22">
        <f t="shared" si="5"/>
        <v>0</v>
      </c>
      <c r="BI16" s="22">
        <f t="shared" si="5"/>
        <v>0</v>
      </c>
      <c r="BJ16" s="22">
        <f t="shared" si="5"/>
        <v>0</v>
      </c>
      <c r="BK16" s="22">
        <f t="shared" si="5"/>
        <v>0</v>
      </c>
      <c r="BL16" s="22">
        <f t="shared" si="5"/>
        <v>0</v>
      </c>
      <c r="BM16" s="22">
        <f t="shared" si="5"/>
        <v>0</v>
      </c>
      <c r="BN16" s="22">
        <f t="shared" si="5"/>
        <v>0</v>
      </c>
      <c r="BO16" s="22">
        <f t="shared" si="5"/>
        <v>0</v>
      </c>
      <c r="BP16" s="22">
        <f t="shared" si="6"/>
        <v>0</v>
      </c>
      <c r="BQ16" s="22">
        <f t="shared" si="6"/>
        <v>0</v>
      </c>
      <c r="BR16" s="22">
        <f t="shared" si="6"/>
        <v>0</v>
      </c>
      <c r="BS16" s="22">
        <f t="shared" si="6"/>
        <v>0</v>
      </c>
      <c r="BT16" s="23">
        <f t="shared" si="7"/>
        <v>3.164705882352941E-2</v>
      </c>
      <c r="BU16" s="22">
        <f t="shared" si="8"/>
        <v>1076000</v>
      </c>
      <c r="BV16" s="22"/>
      <c r="BW16" s="22"/>
      <c r="BX16" s="22">
        <f>+'[2]FEBRERO 2017'!$H$909</f>
        <v>1076000</v>
      </c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3">
        <f t="shared" si="9"/>
        <v>0.96835294117647064</v>
      </c>
      <c r="CQ16" s="22">
        <f t="shared" si="10"/>
        <v>32924000</v>
      </c>
      <c r="CR16" s="22">
        <f t="shared" si="14"/>
        <v>0</v>
      </c>
      <c r="CS16" s="22">
        <f t="shared" si="11"/>
        <v>0</v>
      </c>
      <c r="CT16" s="22">
        <f t="shared" si="11"/>
        <v>32924000</v>
      </c>
      <c r="CU16" s="22">
        <f t="shared" si="11"/>
        <v>0</v>
      </c>
      <c r="CV16" s="22">
        <f t="shared" si="11"/>
        <v>0</v>
      </c>
      <c r="CW16" s="22">
        <f t="shared" si="11"/>
        <v>0</v>
      </c>
      <c r="CX16" s="22">
        <f t="shared" si="11"/>
        <v>0</v>
      </c>
      <c r="CY16" s="22">
        <f t="shared" si="11"/>
        <v>0</v>
      </c>
      <c r="CZ16" s="22">
        <f t="shared" si="11"/>
        <v>0</v>
      </c>
      <c r="DA16" s="22">
        <f t="shared" si="11"/>
        <v>0</v>
      </c>
      <c r="DB16" s="22">
        <f t="shared" si="11"/>
        <v>0</v>
      </c>
      <c r="DC16" s="22">
        <f t="shared" si="11"/>
        <v>0</v>
      </c>
      <c r="DD16" s="22">
        <f t="shared" si="11"/>
        <v>0</v>
      </c>
      <c r="DE16" s="22">
        <f t="shared" si="11"/>
        <v>0</v>
      </c>
      <c r="DF16" s="22">
        <f t="shared" si="11"/>
        <v>0</v>
      </c>
      <c r="DG16" s="22">
        <f t="shared" si="11"/>
        <v>0</v>
      </c>
      <c r="DH16" s="22">
        <f t="shared" si="11"/>
        <v>0</v>
      </c>
      <c r="DI16" s="22">
        <f t="shared" si="12"/>
        <v>0</v>
      </c>
      <c r="DJ16" s="22">
        <f t="shared" si="12"/>
        <v>0</v>
      </c>
      <c r="DK16" s="22">
        <f t="shared" si="12"/>
        <v>0</v>
      </c>
      <c r="DM16" s="26">
        <f t="shared" si="15"/>
        <v>34000000</v>
      </c>
      <c r="DN16" s="26">
        <f>+AC16+AY16</f>
        <v>34000000</v>
      </c>
      <c r="DO16" s="26">
        <f t="shared" si="13"/>
        <v>34000000</v>
      </c>
    </row>
    <row r="17" spans="1:120" ht="39" customHeight="1" x14ac:dyDescent="0.25">
      <c r="A17" s="27"/>
      <c r="B17" s="184" t="s">
        <v>83</v>
      </c>
      <c r="C17" s="30" t="s">
        <v>84</v>
      </c>
      <c r="D17" s="31" t="s">
        <v>85</v>
      </c>
      <c r="E17" s="20">
        <v>510</v>
      </c>
      <c r="F17" s="21" t="s">
        <v>86</v>
      </c>
      <c r="G17" s="22">
        <f t="shared" si="0"/>
        <v>221000000</v>
      </c>
      <c r="H17" s="22"/>
      <c r="I17" s="22">
        <f>65000000+100000000+40000000</f>
        <v>205000000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>
        <v>16000000</v>
      </c>
      <c r="AB17" s="23">
        <f t="shared" si="1"/>
        <v>0.99925212669683261</v>
      </c>
      <c r="AC17" s="22">
        <f t="shared" si="2"/>
        <v>220834720</v>
      </c>
      <c r="AD17" s="22"/>
      <c r="AE17" s="22">
        <f>+'[5]AGOSTO 2017'!$K$2502</f>
        <v>204834720</v>
      </c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>
        <f>+'[3]JUNIO 2017'!$AC$1533</f>
        <v>16000000</v>
      </c>
      <c r="AX17" s="23">
        <f>1-AB17</f>
        <v>7.4787330316739009E-4</v>
      </c>
      <c r="AY17" s="22">
        <f t="shared" si="17"/>
        <v>165280</v>
      </c>
      <c r="AZ17" s="22">
        <f t="shared" si="5"/>
        <v>0</v>
      </c>
      <c r="BA17" s="22">
        <f t="shared" si="5"/>
        <v>165280</v>
      </c>
      <c r="BB17" s="22">
        <f t="shared" si="5"/>
        <v>0</v>
      </c>
      <c r="BC17" s="22">
        <f t="shared" si="5"/>
        <v>0</v>
      </c>
      <c r="BD17" s="22">
        <f t="shared" si="5"/>
        <v>0</v>
      </c>
      <c r="BE17" s="22">
        <f t="shared" si="5"/>
        <v>0</v>
      </c>
      <c r="BF17" s="22">
        <f t="shared" si="5"/>
        <v>0</v>
      </c>
      <c r="BG17" s="22">
        <f t="shared" si="5"/>
        <v>0</v>
      </c>
      <c r="BH17" s="22">
        <f t="shared" si="5"/>
        <v>0</v>
      </c>
      <c r="BI17" s="22">
        <f t="shared" si="5"/>
        <v>0</v>
      </c>
      <c r="BJ17" s="22">
        <f t="shared" si="5"/>
        <v>0</v>
      </c>
      <c r="BK17" s="22">
        <f t="shared" si="5"/>
        <v>0</v>
      </c>
      <c r="BL17" s="22">
        <f t="shared" si="5"/>
        <v>0</v>
      </c>
      <c r="BM17" s="22">
        <f t="shared" si="5"/>
        <v>0</v>
      </c>
      <c r="BN17" s="22">
        <f t="shared" si="5"/>
        <v>0</v>
      </c>
      <c r="BO17" s="22">
        <f t="shared" si="5"/>
        <v>0</v>
      </c>
      <c r="BP17" s="22">
        <f t="shared" si="6"/>
        <v>0</v>
      </c>
      <c r="BQ17" s="22">
        <f t="shared" si="6"/>
        <v>0</v>
      </c>
      <c r="BR17" s="22">
        <f t="shared" si="6"/>
        <v>0</v>
      </c>
      <c r="BS17" s="22">
        <f t="shared" si="6"/>
        <v>0</v>
      </c>
      <c r="BT17" s="23">
        <f t="shared" si="7"/>
        <v>0.73582141628959274</v>
      </c>
      <c r="BU17" s="22">
        <f t="shared" si="8"/>
        <v>162616533</v>
      </c>
      <c r="BV17" s="22"/>
      <c r="BW17" s="22">
        <f>+'[5]AGOSTO 2017'!$H$2500-'[5]AGOSTO 2017'!$H$2536</f>
        <v>150571965</v>
      </c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>
        <f>+'[5]AGOSTO 2017'!$H$2536</f>
        <v>12044568</v>
      </c>
      <c r="CP17" s="23">
        <f t="shared" si="9"/>
        <v>0.26417858371040726</v>
      </c>
      <c r="CQ17" s="22">
        <f t="shared" si="10"/>
        <v>58383467</v>
      </c>
      <c r="CR17" s="22">
        <f t="shared" si="14"/>
        <v>0</v>
      </c>
      <c r="CS17" s="22">
        <f t="shared" si="11"/>
        <v>54428035</v>
      </c>
      <c r="CT17" s="22">
        <f t="shared" si="11"/>
        <v>0</v>
      </c>
      <c r="CU17" s="22">
        <f t="shared" si="11"/>
        <v>0</v>
      </c>
      <c r="CV17" s="22">
        <f t="shared" si="11"/>
        <v>0</v>
      </c>
      <c r="CW17" s="22">
        <f t="shared" si="11"/>
        <v>0</v>
      </c>
      <c r="CX17" s="22">
        <f t="shared" si="11"/>
        <v>0</v>
      </c>
      <c r="CY17" s="22">
        <f t="shared" si="11"/>
        <v>0</v>
      </c>
      <c r="CZ17" s="22">
        <f t="shared" si="11"/>
        <v>0</v>
      </c>
      <c r="DA17" s="22">
        <f t="shared" si="11"/>
        <v>0</v>
      </c>
      <c r="DB17" s="22">
        <f t="shared" si="11"/>
        <v>0</v>
      </c>
      <c r="DC17" s="22">
        <f t="shared" si="11"/>
        <v>0</v>
      </c>
      <c r="DD17" s="22">
        <f t="shared" si="11"/>
        <v>0</v>
      </c>
      <c r="DE17" s="22">
        <f t="shared" si="11"/>
        <v>0</v>
      </c>
      <c r="DF17" s="22">
        <f t="shared" si="11"/>
        <v>0</v>
      </c>
      <c r="DG17" s="22">
        <f t="shared" si="11"/>
        <v>0</v>
      </c>
      <c r="DH17" s="22">
        <f t="shared" si="11"/>
        <v>0</v>
      </c>
      <c r="DI17" s="22">
        <f t="shared" si="12"/>
        <v>0</v>
      </c>
      <c r="DJ17" s="22">
        <f t="shared" si="12"/>
        <v>0</v>
      </c>
      <c r="DK17" s="22">
        <f t="shared" si="12"/>
        <v>3955432</v>
      </c>
      <c r="DM17" s="26">
        <f t="shared" si="15"/>
        <v>221000000</v>
      </c>
      <c r="DN17" s="26">
        <f>+AC17+AY17</f>
        <v>221000000</v>
      </c>
      <c r="DO17" s="26">
        <f t="shared" si="13"/>
        <v>221000000</v>
      </c>
    </row>
    <row r="18" spans="1:120" ht="48" customHeight="1" x14ac:dyDescent="0.25">
      <c r="A18" s="27"/>
      <c r="B18" s="184"/>
      <c r="C18" s="30" t="s">
        <v>87</v>
      </c>
      <c r="D18" s="19" t="s">
        <v>88</v>
      </c>
      <c r="E18" s="20">
        <v>510</v>
      </c>
      <c r="F18" s="21" t="s">
        <v>86</v>
      </c>
      <c r="G18" s="22">
        <f t="shared" si="0"/>
        <v>53440391</v>
      </c>
      <c r="H18" s="22"/>
      <c r="I18" s="22">
        <v>25000000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>
        <v>7440391</v>
      </c>
      <c r="V18" s="22"/>
      <c r="W18" s="22"/>
      <c r="X18" s="22"/>
      <c r="Y18" s="22"/>
      <c r="Z18" s="22"/>
      <c r="AA18" s="22">
        <f>5000000+16000000</f>
        <v>21000000</v>
      </c>
      <c r="AB18" s="23">
        <f t="shared" si="1"/>
        <v>0.75673830679869092</v>
      </c>
      <c r="AC18" s="22">
        <f t="shared" si="2"/>
        <v>40440391</v>
      </c>
      <c r="AD18" s="22"/>
      <c r="AE18" s="22">
        <f>+'[1]ENERO 2017'!$K$602</f>
        <v>25000000</v>
      </c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>
        <f>+'[2]FEBRERO 2017'!$W$952</f>
        <v>7440391</v>
      </c>
      <c r="AR18" s="22"/>
      <c r="AS18" s="22"/>
      <c r="AT18" s="22"/>
      <c r="AU18" s="22"/>
      <c r="AV18" s="22"/>
      <c r="AW18" s="22">
        <f>+'[5]AGOSTO 2017'!$AC$2543</f>
        <v>8000000</v>
      </c>
      <c r="AX18" s="23">
        <f t="shared" si="3"/>
        <v>0.24326169320130908</v>
      </c>
      <c r="AY18" s="22">
        <f t="shared" si="17"/>
        <v>13000000</v>
      </c>
      <c r="AZ18" s="22">
        <f t="shared" si="5"/>
        <v>0</v>
      </c>
      <c r="BA18" s="22">
        <f t="shared" si="5"/>
        <v>0</v>
      </c>
      <c r="BB18" s="22">
        <f t="shared" si="5"/>
        <v>0</v>
      </c>
      <c r="BC18" s="22">
        <f t="shared" si="5"/>
        <v>0</v>
      </c>
      <c r="BD18" s="22">
        <f t="shared" si="5"/>
        <v>0</v>
      </c>
      <c r="BE18" s="22">
        <f t="shared" si="5"/>
        <v>0</v>
      </c>
      <c r="BF18" s="22">
        <f t="shared" si="5"/>
        <v>0</v>
      </c>
      <c r="BG18" s="22">
        <f t="shared" si="5"/>
        <v>0</v>
      </c>
      <c r="BH18" s="22">
        <f t="shared" si="5"/>
        <v>0</v>
      </c>
      <c r="BI18" s="22">
        <f t="shared" si="5"/>
        <v>0</v>
      </c>
      <c r="BJ18" s="22">
        <f t="shared" si="5"/>
        <v>0</v>
      </c>
      <c r="BK18" s="22">
        <f t="shared" si="5"/>
        <v>0</v>
      </c>
      <c r="BL18" s="22">
        <f t="shared" si="5"/>
        <v>0</v>
      </c>
      <c r="BM18" s="22">
        <f t="shared" si="5"/>
        <v>0</v>
      </c>
      <c r="BN18" s="22">
        <f t="shared" si="5"/>
        <v>0</v>
      </c>
      <c r="BO18" s="22">
        <f t="shared" si="5"/>
        <v>0</v>
      </c>
      <c r="BP18" s="22">
        <f t="shared" si="6"/>
        <v>0</v>
      </c>
      <c r="BQ18" s="22">
        <f t="shared" si="6"/>
        <v>0</v>
      </c>
      <c r="BR18" s="22">
        <f t="shared" si="6"/>
        <v>0</v>
      </c>
      <c r="BS18" s="22">
        <f t="shared" si="6"/>
        <v>13000000</v>
      </c>
      <c r="BT18" s="23">
        <f t="shared" si="7"/>
        <v>0.52275974178407492</v>
      </c>
      <c r="BU18" s="22">
        <f t="shared" si="8"/>
        <v>27936485</v>
      </c>
      <c r="BV18" s="22"/>
      <c r="BW18" s="22">
        <f>+'[8]ABRIL 2017'!$H$1134</f>
        <v>23359120</v>
      </c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>
        <f>+'[5]AGOSTO 2017'!$H$2549</f>
        <v>4577365</v>
      </c>
      <c r="CJ18" s="22"/>
      <c r="CK18" s="22"/>
      <c r="CL18" s="22"/>
      <c r="CM18" s="22"/>
      <c r="CN18" s="22"/>
      <c r="CO18" s="22"/>
      <c r="CP18" s="23">
        <f t="shared" si="9"/>
        <v>0.47724025821592508</v>
      </c>
      <c r="CQ18" s="22">
        <f t="shared" si="10"/>
        <v>25503906</v>
      </c>
      <c r="CR18" s="22">
        <f t="shared" si="14"/>
        <v>0</v>
      </c>
      <c r="CS18" s="22">
        <f t="shared" si="11"/>
        <v>1640880</v>
      </c>
      <c r="CT18" s="22">
        <f t="shared" si="11"/>
        <v>0</v>
      </c>
      <c r="CU18" s="22">
        <f t="shared" si="11"/>
        <v>0</v>
      </c>
      <c r="CV18" s="22">
        <f t="shared" si="11"/>
        <v>0</v>
      </c>
      <c r="CW18" s="22">
        <f t="shared" si="11"/>
        <v>0</v>
      </c>
      <c r="CX18" s="22">
        <f t="shared" si="11"/>
        <v>0</v>
      </c>
      <c r="CY18" s="22">
        <f t="shared" si="11"/>
        <v>0</v>
      </c>
      <c r="CZ18" s="22">
        <f t="shared" si="11"/>
        <v>0</v>
      </c>
      <c r="DA18" s="22">
        <f t="shared" si="11"/>
        <v>0</v>
      </c>
      <c r="DB18" s="22">
        <f t="shared" si="11"/>
        <v>0</v>
      </c>
      <c r="DC18" s="22">
        <f t="shared" si="11"/>
        <v>0</v>
      </c>
      <c r="DD18" s="22">
        <f t="shared" si="11"/>
        <v>0</v>
      </c>
      <c r="DE18" s="22">
        <f t="shared" si="11"/>
        <v>2863026</v>
      </c>
      <c r="DF18" s="22">
        <f t="shared" si="11"/>
        <v>0</v>
      </c>
      <c r="DG18" s="22">
        <f t="shared" si="11"/>
        <v>0</v>
      </c>
      <c r="DH18" s="22">
        <f t="shared" si="11"/>
        <v>0</v>
      </c>
      <c r="DI18" s="22">
        <f t="shared" si="12"/>
        <v>0</v>
      </c>
      <c r="DJ18" s="22">
        <f t="shared" si="12"/>
        <v>0</v>
      </c>
      <c r="DK18" s="22">
        <f t="shared" si="12"/>
        <v>21000000</v>
      </c>
      <c r="DM18" s="26">
        <f t="shared" si="15"/>
        <v>53440391</v>
      </c>
      <c r="DN18" s="26">
        <f>+AC18+AY18</f>
        <v>53440391</v>
      </c>
      <c r="DO18" s="26">
        <f t="shared" si="13"/>
        <v>53440391</v>
      </c>
    </row>
    <row r="19" spans="1:120" ht="48" customHeight="1" x14ac:dyDescent="0.25">
      <c r="A19" s="27"/>
      <c r="B19" s="168" t="s">
        <v>89</v>
      </c>
      <c r="C19" s="30" t="s">
        <v>90</v>
      </c>
      <c r="D19" s="19" t="s">
        <v>91</v>
      </c>
      <c r="E19" s="20">
        <v>510</v>
      </c>
      <c r="F19" s="21"/>
      <c r="G19" s="22">
        <f t="shared" si="0"/>
        <v>6000000</v>
      </c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>
        <v>6000000</v>
      </c>
      <c r="W19" s="22"/>
      <c r="X19" s="22"/>
      <c r="Y19" s="22"/>
      <c r="Z19" s="22"/>
      <c r="AA19" s="22"/>
      <c r="AB19" s="23">
        <f t="shared" si="1"/>
        <v>0</v>
      </c>
      <c r="AC19" s="22">
        <f t="shared" si="2"/>
        <v>0</v>
      </c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3">
        <f t="shared" si="3"/>
        <v>1</v>
      </c>
      <c r="AY19" s="22">
        <f t="shared" si="17"/>
        <v>6000000</v>
      </c>
      <c r="AZ19" s="22">
        <f t="shared" si="5"/>
        <v>0</v>
      </c>
      <c r="BA19" s="22">
        <f t="shared" si="5"/>
        <v>0</v>
      </c>
      <c r="BB19" s="22">
        <f t="shared" si="5"/>
        <v>0</v>
      </c>
      <c r="BC19" s="22">
        <f t="shared" si="5"/>
        <v>0</v>
      </c>
      <c r="BD19" s="22">
        <f t="shared" si="5"/>
        <v>0</v>
      </c>
      <c r="BE19" s="22">
        <f t="shared" si="5"/>
        <v>0</v>
      </c>
      <c r="BF19" s="22">
        <f t="shared" si="5"/>
        <v>0</v>
      </c>
      <c r="BG19" s="22">
        <f t="shared" si="5"/>
        <v>0</v>
      </c>
      <c r="BH19" s="22">
        <f t="shared" si="5"/>
        <v>0</v>
      </c>
      <c r="BI19" s="22">
        <f t="shared" si="5"/>
        <v>0</v>
      </c>
      <c r="BJ19" s="22">
        <f t="shared" si="5"/>
        <v>0</v>
      </c>
      <c r="BK19" s="22">
        <f t="shared" si="5"/>
        <v>0</v>
      </c>
      <c r="BL19" s="22">
        <f t="shared" si="5"/>
        <v>0</v>
      </c>
      <c r="BM19" s="22">
        <f t="shared" si="5"/>
        <v>0</v>
      </c>
      <c r="BN19" s="22">
        <f t="shared" si="5"/>
        <v>6000000</v>
      </c>
      <c r="BO19" s="22">
        <f t="shared" ref="AZ19:BO23" si="18">+W19-AS19</f>
        <v>0</v>
      </c>
      <c r="BP19" s="22">
        <f t="shared" si="6"/>
        <v>0</v>
      </c>
      <c r="BQ19" s="22">
        <f t="shared" si="6"/>
        <v>0</v>
      </c>
      <c r="BR19" s="22">
        <f t="shared" si="6"/>
        <v>0</v>
      </c>
      <c r="BS19" s="22">
        <f t="shared" si="6"/>
        <v>0</v>
      </c>
      <c r="BT19" s="23">
        <f t="shared" si="7"/>
        <v>0</v>
      </c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3">
        <f t="shared" si="9"/>
        <v>1</v>
      </c>
      <c r="CQ19" s="22">
        <f t="shared" si="10"/>
        <v>6000000</v>
      </c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>
        <f t="shared" si="11"/>
        <v>6000000</v>
      </c>
      <c r="DG19" s="22"/>
      <c r="DH19" s="22"/>
      <c r="DI19" s="22"/>
      <c r="DJ19" s="22"/>
      <c r="DK19" s="22"/>
      <c r="DM19" s="26">
        <f t="shared" si="15"/>
        <v>6000000</v>
      </c>
      <c r="DN19" s="26">
        <f t="shared" ref="DN19:DN20" si="19">+AC19+AY19</f>
        <v>6000000</v>
      </c>
      <c r="DO19" s="26">
        <f t="shared" si="13"/>
        <v>6000000</v>
      </c>
      <c r="DP19" s="26"/>
    </row>
    <row r="20" spans="1:120" ht="66.75" customHeight="1" x14ac:dyDescent="0.25">
      <c r="A20" s="27"/>
      <c r="B20" s="169"/>
      <c r="C20" s="30" t="s">
        <v>92</v>
      </c>
      <c r="D20" s="19" t="s">
        <v>93</v>
      </c>
      <c r="E20" s="20">
        <v>510</v>
      </c>
      <c r="F20" s="21"/>
      <c r="G20" s="22">
        <f t="shared" si="0"/>
        <v>2000000</v>
      </c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>
        <v>2000000</v>
      </c>
      <c r="W20" s="22"/>
      <c r="X20" s="22"/>
      <c r="Y20" s="22"/>
      <c r="Z20" s="22"/>
      <c r="AA20" s="22"/>
      <c r="AB20" s="23">
        <f t="shared" si="1"/>
        <v>0</v>
      </c>
      <c r="AC20" s="22">
        <f t="shared" si="2"/>
        <v>0</v>
      </c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3">
        <f t="shared" si="3"/>
        <v>1</v>
      </c>
      <c r="AY20" s="22">
        <f t="shared" si="17"/>
        <v>2000000</v>
      </c>
      <c r="AZ20" s="22">
        <f t="shared" si="18"/>
        <v>0</v>
      </c>
      <c r="BA20" s="22">
        <f t="shared" si="18"/>
        <v>0</v>
      </c>
      <c r="BB20" s="22">
        <f t="shared" si="18"/>
        <v>0</v>
      </c>
      <c r="BC20" s="22">
        <f t="shared" si="18"/>
        <v>0</v>
      </c>
      <c r="BD20" s="22">
        <f t="shared" si="18"/>
        <v>0</v>
      </c>
      <c r="BE20" s="22">
        <f t="shared" si="18"/>
        <v>0</v>
      </c>
      <c r="BF20" s="22">
        <f t="shared" si="18"/>
        <v>0</v>
      </c>
      <c r="BG20" s="22">
        <f t="shared" si="18"/>
        <v>0</v>
      </c>
      <c r="BH20" s="22">
        <f t="shared" si="18"/>
        <v>0</v>
      </c>
      <c r="BI20" s="22">
        <f t="shared" si="18"/>
        <v>0</v>
      </c>
      <c r="BJ20" s="22">
        <f t="shared" si="18"/>
        <v>0</v>
      </c>
      <c r="BK20" s="22">
        <f t="shared" si="18"/>
        <v>0</v>
      </c>
      <c r="BL20" s="22">
        <f t="shared" si="18"/>
        <v>0</v>
      </c>
      <c r="BM20" s="22">
        <f t="shared" si="18"/>
        <v>0</v>
      </c>
      <c r="BN20" s="22">
        <f t="shared" si="18"/>
        <v>2000000</v>
      </c>
      <c r="BO20" s="22">
        <f t="shared" si="18"/>
        <v>0</v>
      </c>
      <c r="BP20" s="22">
        <f t="shared" si="6"/>
        <v>0</v>
      </c>
      <c r="BQ20" s="22">
        <f t="shared" si="6"/>
        <v>0</v>
      </c>
      <c r="BR20" s="22">
        <f t="shared" si="6"/>
        <v>0</v>
      </c>
      <c r="BS20" s="22">
        <f t="shared" si="6"/>
        <v>0</v>
      </c>
      <c r="BT20" s="23">
        <f t="shared" si="7"/>
        <v>0</v>
      </c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3">
        <f t="shared" si="9"/>
        <v>1</v>
      </c>
      <c r="CQ20" s="22">
        <f t="shared" si="10"/>
        <v>2000000</v>
      </c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>
        <f t="shared" si="11"/>
        <v>2000000</v>
      </c>
      <c r="DG20" s="22"/>
      <c r="DH20" s="22"/>
      <c r="DI20" s="22"/>
      <c r="DJ20" s="22"/>
      <c r="DK20" s="22"/>
      <c r="DM20" s="26">
        <f t="shared" si="15"/>
        <v>2000000</v>
      </c>
      <c r="DN20" s="26">
        <f t="shared" si="19"/>
        <v>2000000</v>
      </c>
      <c r="DO20" s="26">
        <f t="shared" si="13"/>
        <v>2000000</v>
      </c>
    </row>
    <row r="21" spans="1:120" ht="36.75" customHeight="1" x14ac:dyDescent="0.25">
      <c r="A21" s="27"/>
      <c r="B21" s="181" t="s">
        <v>94</v>
      </c>
      <c r="C21" s="18" t="s">
        <v>95</v>
      </c>
      <c r="D21" s="19" t="s">
        <v>96</v>
      </c>
      <c r="E21" s="20">
        <v>510</v>
      </c>
      <c r="F21" s="21" t="s">
        <v>56</v>
      </c>
      <c r="G21" s="22">
        <f t="shared" si="0"/>
        <v>12000000</v>
      </c>
      <c r="H21" s="22"/>
      <c r="I21" s="22">
        <v>12000000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3">
        <f t="shared" si="1"/>
        <v>1</v>
      </c>
      <c r="AC21" s="22">
        <f t="shared" si="2"/>
        <v>12000000</v>
      </c>
      <c r="AD21" s="22"/>
      <c r="AE21" s="22">
        <f>+'[2]FEBRERO 2017'!$K$964</f>
        <v>12000000</v>
      </c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3">
        <f t="shared" si="3"/>
        <v>0</v>
      </c>
      <c r="AY21" s="22">
        <f t="shared" si="17"/>
        <v>0</v>
      </c>
      <c r="AZ21" s="22">
        <f t="shared" si="18"/>
        <v>0</v>
      </c>
      <c r="BA21" s="22">
        <f t="shared" si="18"/>
        <v>0</v>
      </c>
      <c r="BB21" s="22">
        <f t="shared" si="18"/>
        <v>0</v>
      </c>
      <c r="BC21" s="22">
        <f t="shared" si="18"/>
        <v>0</v>
      </c>
      <c r="BD21" s="22">
        <f t="shared" si="18"/>
        <v>0</v>
      </c>
      <c r="BE21" s="22">
        <f t="shared" si="18"/>
        <v>0</v>
      </c>
      <c r="BF21" s="22">
        <f t="shared" si="18"/>
        <v>0</v>
      </c>
      <c r="BG21" s="22">
        <f t="shared" si="18"/>
        <v>0</v>
      </c>
      <c r="BH21" s="22">
        <f t="shared" si="18"/>
        <v>0</v>
      </c>
      <c r="BI21" s="22">
        <f t="shared" si="18"/>
        <v>0</v>
      </c>
      <c r="BJ21" s="22">
        <f t="shared" si="18"/>
        <v>0</v>
      </c>
      <c r="BK21" s="22">
        <f t="shared" si="18"/>
        <v>0</v>
      </c>
      <c r="BL21" s="22">
        <f t="shared" si="18"/>
        <v>0</v>
      </c>
      <c r="BM21" s="22">
        <f t="shared" si="18"/>
        <v>0</v>
      </c>
      <c r="BN21" s="22">
        <f t="shared" si="18"/>
        <v>0</v>
      </c>
      <c r="BO21" s="22">
        <f t="shared" si="18"/>
        <v>0</v>
      </c>
      <c r="BP21" s="22">
        <f t="shared" si="6"/>
        <v>0</v>
      </c>
      <c r="BQ21" s="22">
        <f t="shared" si="6"/>
        <v>0</v>
      </c>
      <c r="BR21" s="22">
        <f t="shared" si="6"/>
        <v>0</v>
      </c>
      <c r="BS21" s="22">
        <f t="shared" si="6"/>
        <v>0</v>
      </c>
      <c r="BT21" s="23">
        <f t="shared" si="7"/>
        <v>0.89864883333333334</v>
      </c>
      <c r="BU21" s="22">
        <f t="shared" si="8"/>
        <v>10783786</v>
      </c>
      <c r="BV21" s="22"/>
      <c r="BW21" s="22">
        <f>+'[5]AGOSTO 2017'!$H$2577</f>
        <v>10783786</v>
      </c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3">
        <f t="shared" si="9"/>
        <v>0.10135116666666666</v>
      </c>
      <c r="CQ21" s="22">
        <f t="shared" si="10"/>
        <v>1216214</v>
      </c>
      <c r="CR21" s="22">
        <f t="shared" si="14"/>
        <v>0</v>
      </c>
      <c r="CS21" s="22">
        <f t="shared" si="11"/>
        <v>1216214</v>
      </c>
      <c r="CT21" s="22">
        <f t="shared" si="11"/>
        <v>0</v>
      </c>
      <c r="CU21" s="22">
        <f t="shared" si="11"/>
        <v>0</v>
      </c>
      <c r="CV21" s="22">
        <f t="shared" si="11"/>
        <v>0</v>
      </c>
      <c r="CW21" s="22">
        <f t="shared" si="11"/>
        <v>0</v>
      </c>
      <c r="CX21" s="22">
        <f t="shared" si="11"/>
        <v>0</v>
      </c>
      <c r="CY21" s="22">
        <f t="shared" si="11"/>
        <v>0</v>
      </c>
      <c r="CZ21" s="22">
        <f t="shared" si="11"/>
        <v>0</v>
      </c>
      <c r="DA21" s="22">
        <f t="shared" si="11"/>
        <v>0</v>
      </c>
      <c r="DB21" s="22">
        <f t="shared" si="11"/>
        <v>0</v>
      </c>
      <c r="DC21" s="22">
        <f t="shared" si="11"/>
        <v>0</v>
      </c>
      <c r="DD21" s="22">
        <f t="shared" si="11"/>
        <v>0</v>
      </c>
      <c r="DE21" s="22">
        <f t="shared" si="11"/>
        <v>0</v>
      </c>
      <c r="DF21" s="22">
        <f t="shared" si="11"/>
        <v>0</v>
      </c>
      <c r="DG21" s="22">
        <f t="shared" ref="DG21:DH23" si="20">W21-CK21</f>
        <v>0</v>
      </c>
      <c r="DH21" s="22">
        <f t="shared" si="20"/>
        <v>0</v>
      </c>
      <c r="DI21" s="22">
        <f t="shared" si="12"/>
        <v>0</v>
      </c>
      <c r="DJ21" s="22">
        <f t="shared" si="12"/>
        <v>0</v>
      </c>
      <c r="DK21" s="22">
        <f t="shared" si="12"/>
        <v>0</v>
      </c>
      <c r="DM21" s="26">
        <f t="shared" si="15"/>
        <v>12000000</v>
      </c>
      <c r="DN21" s="26">
        <f>+AC21+AY21</f>
        <v>12000000</v>
      </c>
      <c r="DO21" s="26">
        <f t="shared" si="13"/>
        <v>12000000</v>
      </c>
    </row>
    <row r="22" spans="1:120" ht="42" customHeight="1" x14ac:dyDescent="0.25">
      <c r="A22" s="37"/>
      <c r="B22" s="183"/>
      <c r="C22" s="18" t="s">
        <v>97</v>
      </c>
      <c r="D22" s="19" t="s">
        <v>98</v>
      </c>
      <c r="E22" s="20">
        <v>510</v>
      </c>
      <c r="F22" s="21" t="s">
        <v>99</v>
      </c>
      <c r="G22" s="22">
        <f t="shared" si="0"/>
        <v>76500000</v>
      </c>
      <c r="H22" s="22"/>
      <c r="I22" s="22">
        <v>38000000</v>
      </c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>
        <v>9000000</v>
      </c>
      <c r="V22" s="22"/>
      <c r="W22" s="22"/>
      <c r="X22" s="22"/>
      <c r="Y22" s="22"/>
      <c r="Z22" s="22"/>
      <c r="AA22" s="22">
        <f>26500000+3000000</f>
        <v>29500000</v>
      </c>
      <c r="AB22" s="23">
        <f t="shared" si="1"/>
        <v>0.934640522875817</v>
      </c>
      <c r="AC22" s="22">
        <f t="shared" si="2"/>
        <v>71500000</v>
      </c>
      <c r="AD22" s="22"/>
      <c r="AE22" s="22">
        <f>+'[1]ENERO 2017'!$K$619</f>
        <v>38000000</v>
      </c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>
        <f>+'[3]JUNIO 2017'!$W$1608</f>
        <v>9000000</v>
      </c>
      <c r="AR22" s="22"/>
      <c r="AS22" s="22"/>
      <c r="AT22" s="22"/>
      <c r="AU22" s="22"/>
      <c r="AV22" s="22"/>
      <c r="AW22" s="22">
        <f>+'[1]ENERO 2017'!$T$619</f>
        <v>24500000</v>
      </c>
      <c r="AX22" s="23">
        <f t="shared" si="3"/>
        <v>6.5359477124182996E-2</v>
      </c>
      <c r="AY22" s="22">
        <f t="shared" si="17"/>
        <v>5000000</v>
      </c>
      <c r="AZ22" s="22">
        <f t="shared" si="18"/>
        <v>0</v>
      </c>
      <c r="BA22" s="22">
        <f t="shared" si="18"/>
        <v>0</v>
      </c>
      <c r="BB22" s="22">
        <f t="shared" si="18"/>
        <v>0</v>
      </c>
      <c r="BC22" s="22">
        <f t="shared" si="18"/>
        <v>0</v>
      </c>
      <c r="BD22" s="22">
        <f t="shared" si="18"/>
        <v>0</v>
      </c>
      <c r="BE22" s="22">
        <f t="shared" si="18"/>
        <v>0</v>
      </c>
      <c r="BF22" s="22">
        <f t="shared" si="18"/>
        <v>0</v>
      </c>
      <c r="BG22" s="22">
        <f t="shared" si="18"/>
        <v>0</v>
      </c>
      <c r="BH22" s="22">
        <f t="shared" si="18"/>
        <v>0</v>
      </c>
      <c r="BI22" s="22">
        <f t="shared" si="18"/>
        <v>0</v>
      </c>
      <c r="BJ22" s="22">
        <f t="shared" si="18"/>
        <v>0</v>
      </c>
      <c r="BK22" s="22">
        <f t="shared" si="18"/>
        <v>0</v>
      </c>
      <c r="BL22" s="22">
        <f t="shared" si="18"/>
        <v>0</v>
      </c>
      <c r="BM22" s="22">
        <f t="shared" si="18"/>
        <v>0</v>
      </c>
      <c r="BN22" s="22">
        <f t="shared" si="18"/>
        <v>0</v>
      </c>
      <c r="BO22" s="22">
        <f t="shared" si="18"/>
        <v>0</v>
      </c>
      <c r="BP22" s="22">
        <f t="shared" si="6"/>
        <v>0</v>
      </c>
      <c r="BQ22" s="22">
        <f t="shared" si="6"/>
        <v>0</v>
      </c>
      <c r="BR22" s="22">
        <f t="shared" si="6"/>
        <v>0</v>
      </c>
      <c r="BS22" s="22">
        <f t="shared" si="6"/>
        <v>5000000</v>
      </c>
      <c r="BT22" s="23">
        <f t="shared" si="7"/>
        <v>0.52216762091503266</v>
      </c>
      <c r="BU22" s="22">
        <f t="shared" si="8"/>
        <v>39945823</v>
      </c>
      <c r="BV22" s="22"/>
      <c r="BW22" s="22">
        <f>+'[6]JULIO 2017'!$H$2246</f>
        <v>37945823</v>
      </c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>
        <f>+'[7]FEBRERO 2017'!$H$806</f>
        <v>2000000</v>
      </c>
      <c r="CP22" s="23">
        <f t="shared" si="9"/>
        <v>0.47783237908496734</v>
      </c>
      <c r="CQ22" s="22">
        <f t="shared" si="10"/>
        <v>36554177</v>
      </c>
      <c r="CR22" s="22">
        <f t="shared" si="14"/>
        <v>0</v>
      </c>
      <c r="CS22" s="22">
        <f t="shared" si="14"/>
        <v>54177</v>
      </c>
      <c r="CT22" s="22">
        <f t="shared" si="14"/>
        <v>0</v>
      </c>
      <c r="CU22" s="22">
        <f t="shared" si="14"/>
        <v>0</v>
      </c>
      <c r="CV22" s="22">
        <f t="shared" si="14"/>
        <v>0</v>
      </c>
      <c r="CW22" s="22">
        <f t="shared" si="14"/>
        <v>0</v>
      </c>
      <c r="CX22" s="22">
        <f t="shared" si="14"/>
        <v>0</v>
      </c>
      <c r="CY22" s="22">
        <f t="shared" si="14"/>
        <v>0</v>
      </c>
      <c r="CZ22" s="22">
        <f t="shared" si="14"/>
        <v>0</v>
      </c>
      <c r="DA22" s="22">
        <f t="shared" si="14"/>
        <v>0</v>
      </c>
      <c r="DB22" s="22">
        <f t="shared" si="14"/>
        <v>0</v>
      </c>
      <c r="DC22" s="22">
        <f t="shared" si="14"/>
        <v>0</v>
      </c>
      <c r="DD22" s="22">
        <f t="shared" si="14"/>
        <v>0</v>
      </c>
      <c r="DE22" s="22">
        <f t="shared" si="14"/>
        <v>9000000</v>
      </c>
      <c r="DF22" s="22">
        <f t="shared" si="14"/>
        <v>0</v>
      </c>
      <c r="DG22" s="22">
        <f t="shared" si="14"/>
        <v>0</v>
      </c>
      <c r="DH22" s="22">
        <f t="shared" si="20"/>
        <v>0</v>
      </c>
      <c r="DI22" s="22">
        <f t="shared" si="12"/>
        <v>0</v>
      </c>
      <c r="DJ22" s="22">
        <f t="shared" si="12"/>
        <v>0</v>
      </c>
      <c r="DK22" s="22">
        <f t="shared" si="12"/>
        <v>27500000</v>
      </c>
      <c r="DM22" s="26">
        <f t="shared" si="15"/>
        <v>76500000</v>
      </c>
      <c r="DN22" s="26">
        <f>+AC22+AY22</f>
        <v>76500000</v>
      </c>
      <c r="DO22" s="26">
        <f t="shared" si="13"/>
        <v>76500000</v>
      </c>
    </row>
    <row r="23" spans="1:120" ht="34.5" customHeight="1" x14ac:dyDescent="0.25">
      <c r="A23" s="37"/>
      <c r="B23" s="38"/>
      <c r="C23" s="18" t="s">
        <v>100</v>
      </c>
      <c r="D23" s="39" t="s">
        <v>101</v>
      </c>
      <c r="E23" s="20">
        <v>510</v>
      </c>
      <c r="F23" s="21" t="s">
        <v>56</v>
      </c>
      <c r="G23" s="22">
        <f t="shared" si="0"/>
        <v>20000000</v>
      </c>
      <c r="H23" s="40"/>
      <c r="I23" s="40"/>
      <c r="J23" s="40">
        <v>20000000</v>
      </c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23">
        <f t="shared" si="1"/>
        <v>0.1275085</v>
      </c>
      <c r="AC23" s="22">
        <f t="shared" si="2"/>
        <v>2550170</v>
      </c>
      <c r="AD23" s="40"/>
      <c r="AE23" s="40"/>
      <c r="AF23" s="40">
        <f>+'[7]FEBRERO 2017'!$L$811</f>
        <v>2550170</v>
      </c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23">
        <f t="shared" si="3"/>
        <v>0.87249149999999998</v>
      </c>
      <c r="AY23" s="22">
        <f t="shared" si="17"/>
        <v>17449830</v>
      </c>
      <c r="AZ23" s="22">
        <f t="shared" si="18"/>
        <v>0</v>
      </c>
      <c r="BA23" s="22">
        <f t="shared" si="18"/>
        <v>0</v>
      </c>
      <c r="BB23" s="22">
        <f t="shared" si="18"/>
        <v>17449830</v>
      </c>
      <c r="BC23" s="22">
        <f t="shared" si="18"/>
        <v>0</v>
      </c>
      <c r="BD23" s="22">
        <f t="shared" si="18"/>
        <v>0</v>
      </c>
      <c r="BE23" s="22">
        <f t="shared" si="18"/>
        <v>0</v>
      </c>
      <c r="BF23" s="22">
        <f t="shared" si="18"/>
        <v>0</v>
      </c>
      <c r="BG23" s="22">
        <f t="shared" si="18"/>
        <v>0</v>
      </c>
      <c r="BH23" s="22">
        <f t="shared" si="18"/>
        <v>0</v>
      </c>
      <c r="BI23" s="22">
        <f t="shared" si="18"/>
        <v>0</v>
      </c>
      <c r="BJ23" s="22">
        <f t="shared" si="18"/>
        <v>0</v>
      </c>
      <c r="BK23" s="22">
        <f t="shared" si="18"/>
        <v>0</v>
      </c>
      <c r="BL23" s="22">
        <f t="shared" si="18"/>
        <v>0</v>
      </c>
      <c r="BM23" s="22">
        <f t="shared" si="18"/>
        <v>0</v>
      </c>
      <c r="BN23" s="22">
        <f t="shared" si="18"/>
        <v>0</v>
      </c>
      <c r="BO23" s="22">
        <f t="shared" si="18"/>
        <v>0</v>
      </c>
      <c r="BP23" s="22">
        <f t="shared" si="6"/>
        <v>0</v>
      </c>
      <c r="BQ23" s="22">
        <f t="shared" si="6"/>
        <v>0</v>
      </c>
      <c r="BR23" s="22">
        <f t="shared" si="6"/>
        <v>0</v>
      </c>
      <c r="BS23" s="22">
        <f t="shared" si="6"/>
        <v>0</v>
      </c>
      <c r="BT23" s="23">
        <f t="shared" si="7"/>
        <v>0.1275085</v>
      </c>
      <c r="BU23" s="22">
        <f t="shared" si="8"/>
        <v>2550170</v>
      </c>
      <c r="BV23" s="40"/>
      <c r="BW23" s="40"/>
      <c r="BX23" s="40">
        <f>+'[7]FEBRERO 2017'!$H$809</f>
        <v>2550170</v>
      </c>
      <c r="BY23" s="40"/>
      <c r="BZ23" s="40"/>
      <c r="CA23" s="40"/>
      <c r="CB23" s="40"/>
      <c r="CC23" s="40"/>
      <c r="CD23" s="40"/>
      <c r="CE23" s="40"/>
      <c r="CF23" s="40"/>
      <c r="CG23" s="40"/>
      <c r="CH23" s="40"/>
      <c r="CI23" s="40"/>
      <c r="CJ23" s="40"/>
      <c r="CK23" s="40"/>
      <c r="CL23" s="40"/>
      <c r="CM23" s="40"/>
      <c r="CN23" s="40"/>
      <c r="CO23" s="40"/>
      <c r="CP23" s="23">
        <f t="shared" si="9"/>
        <v>0.87249149999999998</v>
      </c>
      <c r="CQ23" s="22">
        <f t="shared" si="10"/>
        <v>17449830</v>
      </c>
      <c r="CR23" s="22">
        <f t="shared" si="14"/>
        <v>0</v>
      </c>
      <c r="CS23" s="22">
        <f t="shared" si="14"/>
        <v>0</v>
      </c>
      <c r="CT23" s="22">
        <f t="shared" si="14"/>
        <v>17449830</v>
      </c>
      <c r="CU23" s="22">
        <f t="shared" si="14"/>
        <v>0</v>
      </c>
      <c r="CV23" s="22">
        <f t="shared" si="14"/>
        <v>0</v>
      </c>
      <c r="CW23" s="22">
        <f t="shared" si="14"/>
        <v>0</v>
      </c>
      <c r="CX23" s="22">
        <f t="shared" si="14"/>
        <v>0</v>
      </c>
      <c r="CY23" s="22">
        <f t="shared" si="14"/>
        <v>0</v>
      </c>
      <c r="CZ23" s="22">
        <f t="shared" si="14"/>
        <v>0</v>
      </c>
      <c r="DA23" s="22">
        <f t="shared" si="14"/>
        <v>0</v>
      </c>
      <c r="DB23" s="22">
        <f t="shared" si="14"/>
        <v>0</v>
      </c>
      <c r="DC23" s="22">
        <f t="shared" si="14"/>
        <v>0</v>
      </c>
      <c r="DD23" s="22">
        <f t="shared" si="14"/>
        <v>0</v>
      </c>
      <c r="DE23" s="22">
        <f t="shared" si="14"/>
        <v>0</v>
      </c>
      <c r="DF23" s="22">
        <f t="shared" si="14"/>
        <v>0</v>
      </c>
      <c r="DG23" s="22">
        <f t="shared" si="14"/>
        <v>0</v>
      </c>
      <c r="DH23" s="22">
        <f t="shared" si="20"/>
        <v>0</v>
      </c>
      <c r="DI23" s="22">
        <f t="shared" si="12"/>
        <v>0</v>
      </c>
      <c r="DJ23" s="22">
        <f t="shared" si="12"/>
        <v>0</v>
      </c>
      <c r="DK23" s="22">
        <f t="shared" si="12"/>
        <v>0</v>
      </c>
      <c r="DM23" s="26"/>
      <c r="DN23" s="26"/>
      <c r="DO23" s="26"/>
    </row>
    <row r="24" spans="1:120" s="47" customFormat="1" ht="17.25" customHeight="1" thickBot="1" x14ac:dyDescent="0.3">
      <c r="A24" s="41"/>
      <c r="B24" s="185" t="s">
        <v>102</v>
      </c>
      <c r="C24" s="186"/>
      <c r="D24" s="186"/>
      <c r="E24" s="187"/>
      <c r="F24" s="42"/>
      <c r="G24" s="43">
        <f t="shared" ref="G24:AA24" si="21">SUM(G4:G23)</f>
        <v>1816258531</v>
      </c>
      <c r="H24" s="43">
        <f t="shared" si="21"/>
        <v>0</v>
      </c>
      <c r="I24" s="43">
        <f t="shared" si="21"/>
        <v>770000000</v>
      </c>
      <c r="J24" s="43">
        <f t="shared" si="21"/>
        <v>250000000</v>
      </c>
      <c r="K24" s="43">
        <f t="shared" si="21"/>
        <v>258269543</v>
      </c>
      <c r="L24" s="43">
        <f t="shared" si="21"/>
        <v>0</v>
      </c>
      <c r="M24" s="43">
        <f t="shared" si="21"/>
        <v>0</v>
      </c>
      <c r="N24" s="43">
        <f t="shared" si="21"/>
        <v>0</v>
      </c>
      <c r="O24" s="43">
        <f t="shared" si="21"/>
        <v>0</v>
      </c>
      <c r="P24" s="43">
        <f t="shared" si="21"/>
        <v>0</v>
      </c>
      <c r="Q24" s="43">
        <f t="shared" si="21"/>
        <v>0</v>
      </c>
      <c r="R24" s="43">
        <f t="shared" si="21"/>
        <v>0</v>
      </c>
      <c r="S24" s="43">
        <f t="shared" si="21"/>
        <v>0</v>
      </c>
      <c r="T24" s="43">
        <f t="shared" si="21"/>
        <v>0</v>
      </c>
      <c r="U24" s="43">
        <f t="shared" si="21"/>
        <v>278034610</v>
      </c>
      <c r="V24" s="43">
        <f t="shared" si="21"/>
        <v>8000000</v>
      </c>
      <c r="W24" s="43">
        <f t="shared" si="21"/>
        <v>0</v>
      </c>
      <c r="X24" s="43">
        <f t="shared" si="21"/>
        <v>0</v>
      </c>
      <c r="Y24" s="43">
        <f t="shared" si="21"/>
        <v>0</v>
      </c>
      <c r="Z24" s="43">
        <f t="shared" si="21"/>
        <v>0</v>
      </c>
      <c r="AA24" s="43">
        <f t="shared" si="21"/>
        <v>251954378</v>
      </c>
      <c r="AB24" s="44">
        <f t="shared" si="1"/>
        <v>0.85399230920391478</v>
      </c>
      <c r="AC24" s="45">
        <f t="shared" ref="AC24:AW24" si="22">SUM(AC4:AC23)</f>
        <v>1551070817</v>
      </c>
      <c r="AD24" s="45">
        <f t="shared" si="22"/>
        <v>0</v>
      </c>
      <c r="AE24" s="45">
        <f t="shared" si="22"/>
        <v>693958851</v>
      </c>
      <c r="AF24" s="45">
        <f t="shared" si="22"/>
        <v>192366571</v>
      </c>
      <c r="AG24" s="45">
        <f t="shared" si="22"/>
        <v>215532106</v>
      </c>
      <c r="AH24" s="45">
        <f t="shared" si="22"/>
        <v>0</v>
      </c>
      <c r="AI24" s="45">
        <f t="shared" si="22"/>
        <v>0</v>
      </c>
      <c r="AJ24" s="45">
        <f t="shared" si="22"/>
        <v>0</v>
      </c>
      <c r="AK24" s="45">
        <f t="shared" si="22"/>
        <v>0</v>
      </c>
      <c r="AL24" s="45">
        <f t="shared" si="22"/>
        <v>0</v>
      </c>
      <c r="AM24" s="45">
        <f t="shared" si="22"/>
        <v>0</v>
      </c>
      <c r="AN24" s="45">
        <f t="shared" si="22"/>
        <v>0</v>
      </c>
      <c r="AO24" s="45">
        <f t="shared" si="22"/>
        <v>0</v>
      </c>
      <c r="AP24" s="45">
        <f t="shared" si="22"/>
        <v>0</v>
      </c>
      <c r="AQ24" s="45">
        <f t="shared" si="22"/>
        <v>278034610</v>
      </c>
      <c r="AR24" s="45">
        <f t="shared" si="22"/>
        <v>0</v>
      </c>
      <c r="AS24" s="45">
        <f t="shared" si="22"/>
        <v>0</v>
      </c>
      <c r="AT24" s="45">
        <f t="shared" si="22"/>
        <v>0</v>
      </c>
      <c r="AU24" s="45">
        <f t="shared" si="22"/>
        <v>0</v>
      </c>
      <c r="AV24" s="45">
        <f t="shared" si="22"/>
        <v>0</v>
      </c>
      <c r="AW24" s="45">
        <f t="shared" si="22"/>
        <v>171178679</v>
      </c>
      <c r="AX24" s="46">
        <f t="shared" si="3"/>
        <v>0.14600769079608522</v>
      </c>
      <c r="AY24" s="45">
        <f t="shared" ref="AY24:BS24" si="23">SUM(AY4:AY23)</f>
        <v>265187714</v>
      </c>
      <c r="AZ24" s="45">
        <f t="shared" si="23"/>
        <v>0</v>
      </c>
      <c r="BA24" s="45">
        <f t="shared" si="23"/>
        <v>76041149</v>
      </c>
      <c r="BB24" s="45">
        <f t="shared" si="23"/>
        <v>57633429</v>
      </c>
      <c r="BC24" s="45">
        <f>SUM(BC4:BC23)</f>
        <v>42737437</v>
      </c>
      <c r="BD24" s="45">
        <f t="shared" si="23"/>
        <v>0</v>
      </c>
      <c r="BE24" s="45">
        <f t="shared" si="23"/>
        <v>0</v>
      </c>
      <c r="BF24" s="45">
        <f t="shared" si="23"/>
        <v>0</v>
      </c>
      <c r="BG24" s="45">
        <f t="shared" si="23"/>
        <v>0</v>
      </c>
      <c r="BH24" s="45">
        <f t="shared" si="23"/>
        <v>0</v>
      </c>
      <c r="BI24" s="45">
        <f t="shared" si="23"/>
        <v>0</v>
      </c>
      <c r="BJ24" s="45">
        <f t="shared" si="23"/>
        <v>0</v>
      </c>
      <c r="BK24" s="45">
        <f t="shared" si="23"/>
        <v>0</v>
      </c>
      <c r="BL24" s="45">
        <f t="shared" si="23"/>
        <v>0</v>
      </c>
      <c r="BM24" s="45">
        <f t="shared" si="23"/>
        <v>0</v>
      </c>
      <c r="BN24" s="45">
        <f t="shared" si="23"/>
        <v>8000000</v>
      </c>
      <c r="BO24" s="45">
        <f t="shared" si="23"/>
        <v>0</v>
      </c>
      <c r="BP24" s="45">
        <f t="shared" si="23"/>
        <v>0</v>
      </c>
      <c r="BQ24" s="45">
        <f t="shared" si="23"/>
        <v>0</v>
      </c>
      <c r="BR24" s="45">
        <f t="shared" si="23"/>
        <v>0</v>
      </c>
      <c r="BS24" s="45">
        <f t="shared" si="23"/>
        <v>80775699</v>
      </c>
      <c r="BT24" s="46">
        <f t="shared" si="7"/>
        <v>0.59083775777733705</v>
      </c>
      <c r="BU24" s="45">
        <f t="shared" ref="BU24:CO24" si="24">SUM(BU4:BU23)</f>
        <v>1073114118</v>
      </c>
      <c r="BV24" s="45">
        <f t="shared" si="24"/>
        <v>0</v>
      </c>
      <c r="BW24" s="45">
        <f t="shared" si="24"/>
        <v>496962226</v>
      </c>
      <c r="BX24" s="45">
        <f t="shared" si="24"/>
        <v>102837040</v>
      </c>
      <c r="BY24" s="45">
        <f t="shared" si="24"/>
        <v>186040541</v>
      </c>
      <c r="BZ24" s="45">
        <f t="shared" si="24"/>
        <v>0</v>
      </c>
      <c r="CA24" s="45">
        <f t="shared" si="24"/>
        <v>0</v>
      </c>
      <c r="CB24" s="45">
        <f t="shared" si="24"/>
        <v>0</v>
      </c>
      <c r="CC24" s="45">
        <f t="shared" si="24"/>
        <v>0</v>
      </c>
      <c r="CD24" s="45">
        <f t="shared" si="24"/>
        <v>0</v>
      </c>
      <c r="CE24" s="45">
        <f t="shared" si="24"/>
        <v>0</v>
      </c>
      <c r="CF24" s="45">
        <f t="shared" si="24"/>
        <v>0</v>
      </c>
      <c r="CG24" s="45">
        <f t="shared" si="24"/>
        <v>0</v>
      </c>
      <c r="CH24" s="45">
        <f t="shared" si="24"/>
        <v>0</v>
      </c>
      <c r="CI24" s="45">
        <f t="shared" si="24"/>
        <v>183990671</v>
      </c>
      <c r="CJ24" s="45">
        <f t="shared" si="24"/>
        <v>0</v>
      </c>
      <c r="CK24" s="45">
        <f t="shared" si="24"/>
        <v>0</v>
      </c>
      <c r="CL24" s="45">
        <f t="shared" si="24"/>
        <v>0</v>
      </c>
      <c r="CM24" s="45">
        <f t="shared" si="24"/>
        <v>0</v>
      </c>
      <c r="CN24" s="45">
        <f t="shared" si="24"/>
        <v>0</v>
      </c>
      <c r="CO24" s="45">
        <f t="shared" si="24"/>
        <v>103283640</v>
      </c>
      <c r="CP24" s="46">
        <f t="shared" si="9"/>
        <v>0.40916224222266295</v>
      </c>
      <c r="CQ24" s="45">
        <f t="shared" ref="CQ24:DK24" si="25">SUM(CQ4:CQ23)</f>
        <v>743144413</v>
      </c>
      <c r="CR24" s="45">
        <f t="shared" si="25"/>
        <v>0</v>
      </c>
      <c r="CS24" s="45">
        <f t="shared" si="25"/>
        <v>273037774</v>
      </c>
      <c r="CT24" s="45">
        <f t="shared" si="25"/>
        <v>147162960</v>
      </c>
      <c r="CU24" s="45">
        <f t="shared" si="25"/>
        <v>72229002</v>
      </c>
      <c r="CV24" s="45">
        <f t="shared" si="25"/>
        <v>0</v>
      </c>
      <c r="CW24" s="45">
        <f t="shared" si="25"/>
        <v>0</v>
      </c>
      <c r="CX24" s="45">
        <f t="shared" si="25"/>
        <v>0</v>
      </c>
      <c r="CY24" s="45">
        <f t="shared" si="25"/>
        <v>0</v>
      </c>
      <c r="CZ24" s="45">
        <f t="shared" si="25"/>
        <v>0</v>
      </c>
      <c r="DA24" s="45">
        <f t="shared" si="25"/>
        <v>0</v>
      </c>
      <c r="DB24" s="45">
        <f t="shared" si="25"/>
        <v>0</v>
      </c>
      <c r="DC24" s="45">
        <f t="shared" si="25"/>
        <v>0</v>
      </c>
      <c r="DD24" s="45">
        <f t="shared" si="25"/>
        <v>0</v>
      </c>
      <c r="DE24" s="45">
        <f t="shared" si="25"/>
        <v>94043939</v>
      </c>
      <c r="DF24" s="45">
        <f t="shared" si="25"/>
        <v>8000000</v>
      </c>
      <c r="DG24" s="45">
        <f t="shared" si="25"/>
        <v>0</v>
      </c>
      <c r="DH24" s="45">
        <f t="shared" si="25"/>
        <v>0</v>
      </c>
      <c r="DI24" s="45">
        <f t="shared" si="25"/>
        <v>0</v>
      </c>
      <c r="DJ24" s="45">
        <f t="shared" si="25"/>
        <v>0</v>
      </c>
      <c r="DK24" s="45">
        <f t="shared" si="25"/>
        <v>148670738</v>
      </c>
      <c r="DM24" s="26">
        <f t="shared" ref="DM24:DM91" si="26">+G24</f>
        <v>1816258531</v>
      </c>
      <c r="DN24" s="26">
        <f t="shared" ref="DN24:DN91" si="27">+AC24+AY24</f>
        <v>1816258531</v>
      </c>
      <c r="DO24" s="26">
        <f t="shared" ref="DO24:DO91" si="28">+BU24+CQ24</f>
        <v>1816258531</v>
      </c>
    </row>
    <row r="25" spans="1:120" ht="35.25" customHeight="1" thickTop="1" x14ac:dyDescent="0.25">
      <c r="A25" s="17" t="s">
        <v>103</v>
      </c>
      <c r="B25" s="188" t="s">
        <v>104</v>
      </c>
      <c r="C25" s="18" t="s">
        <v>105</v>
      </c>
      <c r="D25" s="19" t="s">
        <v>106</v>
      </c>
      <c r="E25" s="20">
        <v>410</v>
      </c>
      <c r="F25" s="48" t="s">
        <v>107</v>
      </c>
      <c r="G25" s="22">
        <f t="shared" ref="G25:G56" si="29">SUM(H25:AA25)</f>
        <v>150000000</v>
      </c>
      <c r="H25" s="49"/>
      <c r="I25" s="22"/>
      <c r="J25" s="22">
        <v>150000000</v>
      </c>
      <c r="K25" s="22"/>
      <c r="L25" s="22"/>
      <c r="M25" s="49"/>
      <c r="N25" s="49"/>
      <c r="O25" s="50"/>
      <c r="P25" s="50"/>
      <c r="Q25" s="50"/>
      <c r="R25" s="51"/>
      <c r="S25" s="50"/>
      <c r="T25" s="50"/>
      <c r="U25" s="50"/>
      <c r="V25" s="50"/>
      <c r="W25" s="50"/>
      <c r="X25" s="50"/>
      <c r="Y25" s="50"/>
      <c r="Z25" s="50"/>
      <c r="AA25" s="50"/>
      <c r="AB25" s="52">
        <f t="shared" si="1"/>
        <v>0.86546586666666669</v>
      </c>
      <c r="AC25" s="22">
        <f t="shared" ref="AC25:AC56" si="30">SUM(AD25:AW25)</f>
        <v>129819880</v>
      </c>
      <c r="AD25" s="22"/>
      <c r="AE25" s="22"/>
      <c r="AF25" s="22">
        <f>+'[4]MAYO 2017'!$L$566</f>
        <v>129819880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3">
        <f t="shared" si="3"/>
        <v>0.13453413333333331</v>
      </c>
      <c r="AY25" s="22">
        <f t="shared" ref="AY25:AY56" si="31">SUM(AZ25:BS25)</f>
        <v>20180120</v>
      </c>
      <c r="AZ25" s="22">
        <f t="shared" ref="AZ25:BO40" si="32">+H25-AD25</f>
        <v>0</v>
      </c>
      <c r="BA25" s="22">
        <f t="shared" si="32"/>
        <v>0</v>
      </c>
      <c r="BB25" s="22">
        <f t="shared" si="32"/>
        <v>20180120</v>
      </c>
      <c r="BC25" s="22">
        <f t="shared" si="32"/>
        <v>0</v>
      </c>
      <c r="BD25" s="22">
        <f t="shared" si="32"/>
        <v>0</v>
      </c>
      <c r="BE25" s="22">
        <f t="shared" si="32"/>
        <v>0</v>
      </c>
      <c r="BF25" s="22">
        <f t="shared" si="32"/>
        <v>0</v>
      </c>
      <c r="BG25" s="22">
        <f t="shared" si="32"/>
        <v>0</v>
      </c>
      <c r="BH25" s="22">
        <f t="shared" si="32"/>
        <v>0</v>
      </c>
      <c r="BI25" s="22">
        <f t="shared" si="32"/>
        <v>0</v>
      </c>
      <c r="BJ25" s="22">
        <f t="shared" si="32"/>
        <v>0</v>
      </c>
      <c r="BK25" s="22">
        <f t="shared" si="32"/>
        <v>0</v>
      </c>
      <c r="BL25" s="22">
        <f t="shared" si="32"/>
        <v>0</v>
      </c>
      <c r="BM25" s="22">
        <f t="shared" si="32"/>
        <v>0</v>
      </c>
      <c r="BN25" s="22">
        <f t="shared" si="32"/>
        <v>0</v>
      </c>
      <c r="BO25" s="22">
        <f t="shared" si="32"/>
        <v>0</v>
      </c>
      <c r="BP25" s="22">
        <f t="shared" ref="BP25:BS56" si="33">+X25-AT25</f>
        <v>0</v>
      </c>
      <c r="BQ25" s="22">
        <f t="shared" si="33"/>
        <v>0</v>
      </c>
      <c r="BR25" s="22">
        <f t="shared" si="33"/>
        <v>0</v>
      </c>
      <c r="BS25" s="22">
        <f t="shared" si="33"/>
        <v>0</v>
      </c>
      <c r="BT25" s="23">
        <f t="shared" si="7"/>
        <v>0.86546586666666669</v>
      </c>
      <c r="BU25" s="22">
        <f t="shared" ref="BU25:BU56" si="34">SUM(BV25:CO25)</f>
        <v>129819880</v>
      </c>
      <c r="BV25" s="22"/>
      <c r="BW25" s="22"/>
      <c r="BX25" s="22">
        <f>+'[3]JUNIO 2017'!$H$655</f>
        <v>129819880</v>
      </c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3">
        <f t="shared" si="9"/>
        <v>0.13453413333333331</v>
      </c>
      <c r="CQ25" s="22">
        <f t="shared" ref="CQ25:CQ56" si="35">SUM(CR25:DK25)</f>
        <v>20180120</v>
      </c>
      <c r="CR25" s="22">
        <f>H25-BV25</f>
        <v>0</v>
      </c>
      <c r="CS25" s="22">
        <f t="shared" ref="CS25:DH40" si="36">I25-BW25</f>
        <v>0</v>
      </c>
      <c r="CT25" s="22">
        <f t="shared" si="36"/>
        <v>20180120</v>
      </c>
      <c r="CU25" s="22">
        <f t="shared" si="36"/>
        <v>0</v>
      </c>
      <c r="CV25" s="22">
        <f t="shared" si="36"/>
        <v>0</v>
      </c>
      <c r="CW25" s="22">
        <f t="shared" si="36"/>
        <v>0</v>
      </c>
      <c r="CX25" s="22">
        <f t="shared" si="36"/>
        <v>0</v>
      </c>
      <c r="CY25" s="22">
        <f t="shared" si="36"/>
        <v>0</v>
      </c>
      <c r="CZ25" s="22">
        <f t="shared" si="36"/>
        <v>0</v>
      </c>
      <c r="DA25" s="22">
        <f t="shared" si="36"/>
        <v>0</v>
      </c>
      <c r="DB25" s="22">
        <f t="shared" si="36"/>
        <v>0</v>
      </c>
      <c r="DC25" s="22">
        <f t="shared" si="36"/>
        <v>0</v>
      </c>
      <c r="DD25" s="22">
        <f t="shared" si="36"/>
        <v>0</v>
      </c>
      <c r="DE25" s="22">
        <f t="shared" si="36"/>
        <v>0</v>
      </c>
      <c r="DF25" s="22">
        <f t="shared" si="36"/>
        <v>0</v>
      </c>
      <c r="DG25" s="22">
        <f t="shared" si="36"/>
        <v>0</v>
      </c>
      <c r="DH25" s="22">
        <f t="shared" si="36"/>
        <v>0</v>
      </c>
      <c r="DI25" s="22">
        <f t="shared" ref="DI25:DK56" si="37">Y25-CM25</f>
        <v>0</v>
      </c>
      <c r="DJ25" s="22">
        <f t="shared" si="37"/>
        <v>0</v>
      </c>
      <c r="DK25" s="22">
        <f t="shared" si="37"/>
        <v>0</v>
      </c>
      <c r="DM25" s="26">
        <f t="shared" si="26"/>
        <v>150000000</v>
      </c>
      <c r="DN25" s="26">
        <f t="shared" si="27"/>
        <v>150000000</v>
      </c>
      <c r="DO25" s="26">
        <f t="shared" si="28"/>
        <v>150000000</v>
      </c>
    </row>
    <row r="26" spans="1:120" ht="47.25" customHeight="1" x14ac:dyDescent="0.25">
      <c r="A26" s="27"/>
      <c r="B26" s="189"/>
      <c r="C26" s="18" t="s">
        <v>108</v>
      </c>
      <c r="D26" s="19" t="s">
        <v>109</v>
      </c>
      <c r="E26" s="20">
        <v>410</v>
      </c>
      <c r="F26" s="21" t="s">
        <v>107</v>
      </c>
      <c r="G26" s="22">
        <f t="shared" si="29"/>
        <v>350000000</v>
      </c>
      <c r="H26" s="22"/>
      <c r="I26" s="22"/>
      <c r="J26" s="22">
        <v>350000000</v>
      </c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3">
        <f t="shared" si="1"/>
        <v>1</v>
      </c>
      <c r="AC26" s="22">
        <f t="shared" si="30"/>
        <v>350000000</v>
      </c>
      <c r="AD26" s="22"/>
      <c r="AE26" s="22"/>
      <c r="AF26" s="22">
        <f>+'[3]JUNIO 2017'!$L$667</f>
        <v>350000000</v>
      </c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3">
        <f t="shared" si="3"/>
        <v>0</v>
      </c>
      <c r="AY26" s="22">
        <f t="shared" si="31"/>
        <v>0</v>
      </c>
      <c r="AZ26" s="22">
        <f t="shared" si="32"/>
        <v>0</v>
      </c>
      <c r="BA26" s="22">
        <f t="shared" si="32"/>
        <v>0</v>
      </c>
      <c r="BB26" s="22">
        <f t="shared" si="32"/>
        <v>0</v>
      </c>
      <c r="BC26" s="22">
        <f t="shared" si="32"/>
        <v>0</v>
      </c>
      <c r="BD26" s="22">
        <f t="shared" si="32"/>
        <v>0</v>
      </c>
      <c r="BE26" s="22">
        <f t="shared" si="32"/>
        <v>0</v>
      </c>
      <c r="BF26" s="22">
        <f t="shared" si="32"/>
        <v>0</v>
      </c>
      <c r="BG26" s="22">
        <f t="shared" si="32"/>
        <v>0</v>
      </c>
      <c r="BH26" s="22">
        <f t="shared" si="32"/>
        <v>0</v>
      </c>
      <c r="BI26" s="22">
        <f t="shared" si="32"/>
        <v>0</v>
      </c>
      <c r="BJ26" s="22">
        <f t="shared" si="32"/>
        <v>0</v>
      </c>
      <c r="BK26" s="22">
        <f t="shared" si="32"/>
        <v>0</v>
      </c>
      <c r="BL26" s="22">
        <f t="shared" si="32"/>
        <v>0</v>
      </c>
      <c r="BM26" s="22">
        <f t="shared" si="32"/>
        <v>0</v>
      </c>
      <c r="BN26" s="22">
        <f t="shared" si="32"/>
        <v>0</v>
      </c>
      <c r="BO26" s="22">
        <f t="shared" si="32"/>
        <v>0</v>
      </c>
      <c r="BP26" s="22">
        <f t="shared" si="33"/>
        <v>0</v>
      </c>
      <c r="BQ26" s="22">
        <f t="shared" si="33"/>
        <v>0</v>
      </c>
      <c r="BR26" s="22">
        <f t="shared" si="33"/>
        <v>0</v>
      </c>
      <c r="BS26" s="22">
        <f t="shared" si="33"/>
        <v>0</v>
      </c>
      <c r="BT26" s="23">
        <f t="shared" si="7"/>
        <v>0.25265475142857141</v>
      </c>
      <c r="BU26" s="22">
        <f t="shared" si="34"/>
        <v>88429163</v>
      </c>
      <c r="BV26" s="22"/>
      <c r="BW26" s="22"/>
      <c r="BX26" s="22">
        <f>+'[4]MAYO 2017'!$H$575</f>
        <v>88429163</v>
      </c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3">
        <f t="shared" si="9"/>
        <v>0.74734524857142859</v>
      </c>
      <c r="CQ26" s="22">
        <f t="shared" si="35"/>
        <v>261570837</v>
      </c>
      <c r="CR26" s="22">
        <f t="shared" ref="CR26:DG56" si="38">H26-BV26</f>
        <v>0</v>
      </c>
      <c r="CS26" s="22">
        <f t="shared" si="36"/>
        <v>0</v>
      </c>
      <c r="CT26" s="22">
        <f t="shared" si="36"/>
        <v>261570837</v>
      </c>
      <c r="CU26" s="22">
        <f t="shared" si="36"/>
        <v>0</v>
      </c>
      <c r="CV26" s="22">
        <f t="shared" si="36"/>
        <v>0</v>
      </c>
      <c r="CW26" s="22">
        <f t="shared" si="36"/>
        <v>0</v>
      </c>
      <c r="CX26" s="22">
        <f t="shared" si="36"/>
        <v>0</v>
      </c>
      <c r="CY26" s="22">
        <f t="shared" si="36"/>
        <v>0</v>
      </c>
      <c r="CZ26" s="22">
        <f t="shared" si="36"/>
        <v>0</v>
      </c>
      <c r="DA26" s="22">
        <f t="shared" si="36"/>
        <v>0</v>
      </c>
      <c r="DB26" s="22">
        <f t="shared" si="36"/>
        <v>0</v>
      </c>
      <c r="DC26" s="22">
        <f t="shared" si="36"/>
        <v>0</v>
      </c>
      <c r="DD26" s="22">
        <f t="shared" si="36"/>
        <v>0</v>
      </c>
      <c r="DE26" s="22">
        <f t="shared" si="36"/>
        <v>0</v>
      </c>
      <c r="DF26" s="22">
        <f t="shared" si="36"/>
        <v>0</v>
      </c>
      <c r="DG26" s="22">
        <f t="shared" si="36"/>
        <v>0</v>
      </c>
      <c r="DH26" s="22">
        <f t="shared" si="36"/>
        <v>0</v>
      </c>
      <c r="DI26" s="22">
        <f t="shared" si="37"/>
        <v>0</v>
      </c>
      <c r="DJ26" s="22">
        <f t="shared" si="37"/>
        <v>0</v>
      </c>
      <c r="DK26" s="22">
        <f t="shared" si="37"/>
        <v>0</v>
      </c>
      <c r="DM26" s="26">
        <f t="shared" si="26"/>
        <v>350000000</v>
      </c>
      <c r="DN26" s="26">
        <f t="shared" si="27"/>
        <v>350000000</v>
      </c>
      <c r="DO26" s="26">
        <f t="shared" si="28"/>
        <v>350000000</v>
      </c>
    </row>
    <row r="27" spans="1:120" ht="33.75" customHeight="1" x14ac:dyDescent="0.25">
      <c r="A27" s="27"/>
      <c r="B27" s="190"/>
      <c r="C27" s="53" t="s">
        <v>110</v>
      </c>
      <c r="D27" s="31" t="s">
        <v>111</v>
      </c>
      <c r="E27" s="54">
        <v>410</v>
      </c>
      <c r="F27" s="55" t="s">
        <v>112</v>
      </c>
      <c r="G27" s="22">
        <f t="shared" si="29"/>
        <v>1418000000</v>
      </c>
      <c r="H27" s="22"/>
      <c r="I27" s="22"/>
      <c r="J27" s="22">
        <v>1400000000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>
        <v>18000000</v>
      </c>
      <c r="AB27" s="23">
        <f t="shared" si="1"/>
        <v>0.9966194097320169</v>
      </c>
      <c r="AC27" s="22">
        <f t="shared" si="30"/>
        <v>1413206323</v>
      </c>
      <c r="AD27" s="22"/>
      <c r="AE27" s="22"/>
      <c r="AF27" s="22">
        <f>+'[6]JULIO 2017'!$L$858</f>
        <v>1400000000</v>
      </c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>
        <f>+'[5]AGOSTO 2017'!$AC$1020</f>
        <v>13206323</v>
      </c>
      <c r="AX27" s="23">
        <f t="shared" si="3"/>
        <v>3.3805902679830968E-3</v>
      </c>
      <c r="AY27" s="22">
        <f t="shared" si="31"/>
        <v>4793677</v>
      </c>
      <c r="AZ27" s="22">
        <f t="shared" si="32"/>
        <v>0</v>
      </c>
      <c r="BA27" s="22">
        <f t="shared" si="32"/>
        <v>0</v>
      </c>
      <c r="BB27" s="22">
        <f t="shared" si="32"/>
        <v>0</v>
      </c>
      <c r="BC27" s="22">
        <f t="shared" si="32"/>
        <v>0</v>
      </c>
      <c r="BD27" s="22">
        <f t="shared" si="32"/>
        <v>0</v>
      </c>
      <c r="BE27" s="22">
        <f t="shared" si="32"/>
        <v>0</v>
      </c>
      <c r="BF27" s="22">
        <f t="shared" si="32"/>
        <v>0</v>
      </c>
      <c r="BG27" s="22">
        <f t="shared" si="32"/>
        <v>0</v>
      </c>
      <c r="BH27" s="22">
        <f t="shared" si="32"/>
        <v>0</v>
      </c>
      <c r="BI27" s="22">
        <f t="shared" si="32"/>
        <v>0</v>
      </c>
      <c r="BJ27" s="22">
        <f t="shared" si="32"/>
        <v>0</v>
      </c>
      <c r="BK27" s="22">
        <f t="shared" si="32"/>
        <v>0</v>
      </c>
      <c r="BL27" s="22">
        <f t="shared" si="32"/>
        <v>0</v>
      </c>
      <c r="BM27" s="22">
        <f t="shared" si="32"/>
        <v>0</v>
      </c>
      <c r="BN27" s="22">
        <f t="shared" si="32"/>
        <v>0</v>
      </c>
      <c r="BO27" s="22">
        <f t="shared" si="32"/>
        <v>0</v>
      </c>
      <c r="BP27" s="22">
        <f t="shared" si="33"/>
        <v>0</v>
      </c>
      <c r="BQ27" s="22">
        <f t="shared" si="33"/>
        <v>0</v>
      </c>
      <c r="BR27" s="22">
        <f t="shared" si="33"/>
        <v>0</v>
      </c>
      <c r="BS27" s="22">
        <f t="shared" si="33"/>
        <v>4793677</v>
      </c>
      <c r="BT27" s="23">
        <f t="shared" si="7"/>
        <v>0.83529748871650211</v>
      </c>
      <c r="BU27" s="22">
        <f t="shared" si="34"/>
        <v>1184451839</v>
      </c>
      <c r="BV27" s="22"/>
      <c r="BW27" s="22"/>
      <c r="BX27" s="22">
        <f>+'[5]AGOSTO 2017'!$H$1021+'[5]AGOSTO 2017'!$H$1035+'[5]AGOSTO 2017'!$H$1058+'[5]AGOSTO 2017'!$H$1062+'[5]AGOSTO 2017'!$H$1069+'[5]AGOSTO 2017'!$H$1072+'[5]AGOSTO 2017'!$H$1079</f>
        <v>1171245516</v>
      </c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>
        <f>+'[5]AGOSTO 2017'!$H$1018-BX27</f>
        <v>13206323</v>
      </c>
      <c r="CP27" s="23">
        <f t="shared" si="9"/>
        <v>0.16470251128349789</v>
      </c>
      <c r="CQ27" s="22">
        <f t="shared" si="35"/>
        <v>233548161</v>
      </c>
      <c r="CR27" s="22">
        <f t="shared" si="38"/>
        <v>0</v>
      </c>
      <c r="CS27" s="22">
        <f t="shared" si="36"/>
        <v>0</v>
      </c>
      <c r="CT27" s="22">
        <f t="shared" si="36"/>
        <v>228754484</v>
      </c>
      <c r="CU27" s="22">
        <f t="shared" si="36"/>
        <v>0</v>
      </c>
      <c r="CV27" s="22">
        <f t="shared" si="36"/>
        <v>0</v>
      </c>
      <c r="CW27" s="22">
        <f t="shared" si="36"/>
        <v>0</v>
      </c>
      <c r="CX27" s="22">
        <f t="shared" si="36"/>
        <v>0</v>
      </c>
      <c r="CY27" s="22">
        <f t="shared" si="36"/>
        <v>0</v>
      </c>
      <c r="CZ27" s="22">
        <f t="shared" si="36"/>
        <v>0</v>
      </c>
      <c r="DA27" s="22">
        <f t="shared" si="36"/>
        <v>0</v>
      </c>
      <c r="DB27" s="22">
        <f t="shared" si="36"/>
        <v>0</v>
      </c>
      <c r="DC27" s="22">
        <f t="shared" si="36"/>
        <v>0</v>
      </c>
      <c r="DD27" s="22">
        <f t="shared" si="36"/>
        <v>0</v>
      </c>
      <c r="DE27" s="22">
        <f t="shared" si="36"/>
        <v>0</v>
      </c>
      <c r="DF27" s="22">
        <f t="shared" si="36"/>
        <v>0</v>
      </c>
      <c r="DG27" s="22">
        <f t="shared" si="36"/>
        <v>0</v>
      </c>
      <c r="DH27" s="22">
        <f t="shared" si="36"/>
        <v>0</v>
      </c>
      <c r="DI27" s="22">
        <f t="shared" si="37"/>
        <v>0</v>
      </c>
      <c r="DJ27" s="22">
        <f t="shared" si="37"/>
        <v>0</v>
      </c>
      <c r="DK27" s="22">
        <f t="shared" si="37"/>
        <v>4793677</v>
      </c>
      <c r="DM27" s="26">
        <f t="shared" si="26"/>
        <v>1418000000</v>
      </c>
      <c r="DN27" s="26">
        <f t="shared" si="27"/>
        <v>1418000000</v>
      </c>
      <c r="DO27" s="26">
        <f t="shared" si="28"/>
        <v>1418000000</v>
      </c>
    </row>
    <row r="28" spans="1:120" ht="36.75" customHeight="1" x14ac:dyDescent="0.25">
      <c r="A28" s="27"/>
      <c r="B28" s="56"/>
      <c r="C28" s="18" t="s">
        <v>113</v>
      </c>
      <c r="D28" s="19" t="s">
        <v>114</v>
      </c>
      <c r="E28" s="20">
        <v>410</v>
      </c>
      <c r="F28" s="21" t="s">
        <v>107</v>
      </c>
      <c r="G28" s="22">
        <f t="shared" si="29"/>
        <v>15000000</v>
      </c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>
        <v>15000000</v>
      </c>
      <c r="W28" s="22"/>
      <c r="X28" s="22"/>
      <c r="Y28" s="22"/>
      <c r="Z28" s="22"/>
      <c r="AA28" s="22"/>
      <c r="AB28" s="23">
        <f t="shared" si="1"/>
        <v>1</v>
      </c>
      <c r="AC28" s="22">
        <f t="shared" si="30"/>
        <v>15000000</v>
      </c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>
        <f>+'[6]JULIO 2017'!$X$916</f>
        <v>15000000</v>
      </c>
      <c r="AS28" s="22"/>
      <c r="AT28" s="22"/>
      <c r="AU28" s="22"/>
      <c r="AV28" s="22"/>
      <c r="AW28" s="22"/>
      <c r="AX28" s="23">
        <f t="shared" si="3"/>
        <v>0</v>
      </c>
      <c r="AY28" s="22">
        <f t="shared" si="31"/>
        <v>0</v>
      </c>
      <c r="AZ28" s="22">
        <f t="shared" si="32"/>
        <v>0</v>
      </c>
      <c r="BA28" s="22">
        <f t="shared" si="32"/>
        <v>0</v>
      </c>
      <c r="BB28" s="22">
        <f t="shared" si="32"/>
        <v>0</v>
      </c>
      <c r="BC28" s="22">
        <f t="shared" si="32"/>
        <v>0</v>
      </c>
      <c r="BD28" s="22">
        <f t="shared" si="32"/>
        <v>0</v>
      </c>
      <c r="BE28" s="22">
        <f t="shared" si="32"/>
        <v>0</v>
      </c>
      <c r="BF28" s="22">
        <f t="shared" si="32"/>
        <v>0</v>
      </c>
      <c r="BG28" s="22">
        <f t="shared" si="32"/>
        <v>0</v>
      </c>
      <c r="BH28" s="22">
        <f t="shared" si="32"/>
        <v>0</v>
      </c>
      <c r="BI28" s="22">
        <f t="shared" si="32"/>
        <v>0</v>
      </c>
      <c r="BJ28" s="22">
        <f t="shared" si="32"/>
        <v>0</v>
      </c>
      <c r="BK28" s="22">
        <f t="shared" si="32"/>
        <v>0</v>
      </c>
      <c r="BL28" s="22">
        <f t="shared" si="32"/>
        <v>0</v>
      </c>
      <c r="BM28" s="22">
        <f t="shared" si="32"/>
        <v>0</v>
      </c>
      <c r="BN28" s="22">
        <f t="shared" si="32"/>
        <v>0</v>
      </c>
      <c r="BO28" s="22">
        <f t="shared" si="32"/>
        <v>0</v>
      </c>
      <c r="BP28" s="22">
        <f t="shared" si="33"/>
        <v>0</v>
      </c>
      <c r="BQ28" s="22">
        <f t="shared" si="33"/>
        <v>0</v>
      </c>
      <c r="BR28" s="22">
        <f t="shared" si="33"/>
        <v>0</v>
      </c>
      <c r="BS28" s="22">
        <f t="shared" si="33"/>
        <v>0</v>
      </c>
      <c r="BT28" s="23">
        <f t="shared" si="7"/>
        <v>1</v>
      </c>
      <c r="BU28" s="22">
        <f t="shared" si="34"/>
        <v>15000000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>
        <f>+'[6]JULIO 2017'!$X$916</f>
        <v>15000000</v>
      </c>
      <c r="CK28" s="22"/>
      <c r="CL28" s="22"/>
      <c r="CM28" s="22"/>
      <c r="CN28" s="22"/>
      <c r="CO28" s="22"/>
      <c r="CP28" s="23">
        <f t="shared" si="9"/>
        <v>0</v>
      </c>
      <c r="CQ28" s="22">
        <f t="shared" si="35"/>
        <v>0</v>
      </c>
      <c r="CR28" s="22">
        <f t="shared" si="38"/>
        <v>0</v>
      </c>
      <c r="CS28" s="22">
        <f t="shared" si="36"/>
        <v>0</v>
      </c>
      <c r="CT28" s="22">
        <f t="shared" si="36"/>
        <v>0</v>
      </c>
      <c r="CU28" s="22">
        <f t="shared" si="36"/>
        <v>0</v>
      </c>
      <c r="CV28" s="22">
        <f t="shared" si="36"/>
        <v>0</v>
      </c>
      <c r="CW28" s="22">
        <f t="shared" si="36"/>
        <v>0</v>
      </c>
      <c r="CX28" s="22">
        <f t="shared" si="36"/>
        <v>0</v>
      </c>
      <c r="CY28" s="22">
        <f t="shared" si="36"/>
        <v>0</v>
      </c>
      <c r="CZ28" s="22">
        <f t="shared" si="36"/>
        <v>0</v>
      </c>
      <c r="DA28" s="22">
        <f t="shared" si="36"/>
        <v>0</v>
      </c>
      <c r="DB28" s="22">
        <f t="shared" si="36"/>
        <v>0</v>
      </c>
      <c r="DC28" s="22">
        <f t="shared" si="36"/>
        <v>0</v>
      </c>
      <c r="DD28" s="22">
        <f t="shared" si="36"/>
        <v>0</v>
      </c>
      <c r="DE28" s="22">
        <f t="shared" si="36"/>
        <v>0</v>
      </c>
      <c r="DF28" s="22">
        <f t="shared" si="36"/>
        <v>0</v>
      </c>
      <c r="DG28" s="22">
        <f t="shared" si="36"/>
        <v>0</v>
      </c>
      <c r="DH28" s="22">
        <f t="shared" si="36"/>
        <v>0</v>
      </c>
      <c r="DI28" s="22">
        <f t="shared" si="37"/>
        <v>0</v>
      </c>
      <c r="DJ28" s="22">
        <f t="shared" si="37"/>
        <v>0</v>
      </c>
      <c r="DK28" s="22">
        <f t="shared" si="37"/>
        <v>0</v>
      </c>
      <c r="DM28" s="26">
        <f t="shared" si="26"/>
        <v>15000000</v>
      </c>
      <c r="DN28" s="26">
        <f t="shared" si="27"/>
        <v>15000000</v>
      </c>
      <c r="DO28" s="26">
        <f t="shared" si="28"/>
        <v>15000000</v>
      </c>
    </row>
    <row r="29" spans="1:120" ht="38.25" customHeight="1" x14ac:dyDescent="0.25">
      <c r="A29" s="27"/>
      <c r="B29" s="56"/>
      <c r="C29" s="18" t="s">
        <v>115</v>
      </c>
      <c r="D29" s="19" t="s">
        <v>116</v>
      </c>
      <c r="E29" s="20">
        <v>410</v>
      </c>
      <c r="F29" s="21" t="s">
        <v>107</v>
      </c>
      <c r="G29" s="22">
        <f t="shared" si="29"/>
        <v>440305826</v>
      </c>
      <c r="H29" s="22"/>
      <c r="I29" s="22"/>
      <c r="J29" s="22">
        <v>150000000</v>
      </c>
      <c r="K29" s="22">
        <v>107030068</v>
      </c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>
        <v>183275758</v>
      </c>
      <c r="W29" s="22"/>
      <c r="X29" s="22"/>
      <c r="Y29" s="22"/>
      <c r="Z29" s="22"/>
      <c r="AA29" s="22"/>
      <c r="AB29" s="23">
        <f t="shared" si="1"/>
        <v>0.50333326500203979</v>
      </c>
      <c r="AC29" s="22">
        <f t="shared" si="30"/>
        <v>221620569</v>
      </c>
      <c r="AD29" s="22"/>
      <c r="AE29" s="22"/>
      <c r="AF29" s="22"/>
      <c r="AG29" s="22">
        <v>82569198</v>
      </c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>
        <f>+'[5]AGOSTO 2017'!$X$1108</f>
        <v>139051371</v>
      </c>
      <c r="AS29" s="22"/>
      <c r="AT29" s="22"/>
      <c r="AU29" s="22"/>
      <c r="AV29" s="22"/>
      <c r="AW29" s="22"/>
      <c r="AX29" s="23">
        <f t="shared" si="3"/>
        <v>0.49666673499796021</v>
      </c>
      <c r="AY29" s="22">
        <f t="shared" si="31"/>
        <v>218685257</v>
      </c>
      <c r="AZ29" s="22">
        <f t="shared" si="32"/>
        <v>0</v>
      </c>
      <c r="BA29" s="22">
        <f t="shared" si="32"/>
        <v>0</v>
      </c>
      <c r="BB29" s="22">
        <f t="shared" si="32"/>
        <v>150000000</v>
      </c>
      <c r="BC29" s="22">
        <f t="shared" si="32"/>
        <v>24460870</v>
      </c>
      <c r="BD29" s="22">
        <f t="shared" si="32"/>
        <v>0</v>
      </c>
      <c r="BE29" s="22">
        <f t="shared" si="32"/>
        <v>0</v>
      </c>
      <c r="BF29" s="22">
        <f t="shared" si="32"/>
        <v>0</v>
      </c>
      <c r="BG29" s="22">
        <f t="shared" si="32"/>
        <v>0</v>
      </c>
      <c r="BH29" s="22">
        <f t="shared" si="32"/>
        <v>0</v>
      </c>
      <c r="BI29" s="22">
        <f t="shared" si="32"/>
        <v>0</v>
      </c>
      <c r="BJ29" s="22">
        <f t="shared" si="32"/>
        <v>0</v>
      </c>
      <c r="BK29" s="22">
        <f t="shared" si="32"/>
        <v>0</v>
      </c>
      <c r="BL29" s="22">
        <f t="shared" si="32"/>
        <v>0</v>
      </c>
      <c r="BM29" s="22">
        <f t="shared" si="32"/>
        <v>0</v>
      </c>
      <c r="BN29" s="22">
        <f t="shared" si="32"/>
        <v>44224387</v>
      </c>
      <c r="BO29" s="22">
        <f t="shared" si="32"/>
        <v>0</v>
      </c>
      <c r="BP29" s="22">
        <f t="shared" si="33"/>
        <v>0</v>
      </c>
      <c r="BQ29" s="22">
        <f t="shared" si="33"/>
        <v>0</v>
      </c>
      <c r="BR29" s="22">
        <f t="shared" si="33"/>
        <v>0</v>
      </c>
      <c r="BS29" s="22">
        <f t="shared" si="33"/>
        <v>0</v>
      </c>
      <c r="BT29" s="23">
        <f t="shared" si="7"/>
        <v>0.45965893033629768</v>
      </c>
      <c r="BU29" s="22">
        <f t="shared" si="34"/>
        <v>202390505</v>
      </c>
      <c r="BV29" s="22"/>
      <c r="BW29" s="22"/>
      <c r="BX29" s="22"/>
      <c r="BY29" s="22">
        <v>82569198</v>
      </c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>
        <f>+'[5]AGOSTO 2017'!$H$1106-BY29</f>
        <v>119821307</v>
      </c>
      <c r="CK29" s="22"/>
      <c r="CL29" s="22"/>
      <c r="CM29" s="22"/>
      <c r="CN29" s="22"/>
      <c r="CO29" s="22"/>
      <c r="CP29" s="23">
        <f t="shared" si="9"/>
        <v>0.54034106966370232</v>
      </c>
      <c r="CQ29" s="22">
        <f t="shared" si="35"/>
        <v>237915321</v>
      </c>
      <c r="CR29" s="22">
        <f t="shared" si="38"/>
        <v>0</v>
      </c>
      <c r="CS29" s="22">
        <f t="shared" si="36"/>
        <v>0</v>
      </c>
      <c r="CT29" s="22">
        <f t="shared" si="36"/>
        <v>150000000</v>
      </c>
      <c r="CU29" s="22">
        <f t="shared" si="36"/>
        <v>24460870</v>
      </c>
      <c r="CV29" s="22">
        <f t="shared" si="36"/>
        <v>0</v>
      </c>
      <c r="CW29" s="22">
        <f t="shared" si="36"/>
        <v>0</v>
      </c>
      <c r="CX29" s="22">
        <f t="shared" si="36"/>
        <v>0</v>
      </c>
      <c r="CY29" s="22">
        <f t="shared" si="36"/>
        <v>0</v>
      </c>
      <c r="CZ29" s="22">
        <f t="shared" si="36"/>
        <v>0</v>
      </c>
      <c r="DA29" s="22">
        <f t="shared" si="36"/>
        <v>0</v>
      </c>
      <c r="DB29" s="22">
        <f t="shared" si="36"/>
        <v>0</v>
      </c>
      <c r="DC29" s="22">
        <f t="shared" si="36"/>
        <v>0</v>
      </c>
      <c r="DD29" s="22">
        <f t="shared" si="36"/>
        <v>0</v>
      </c>
      <c r="DE29" s="22">
        <f t="shared" si="36"/>
        <v>0</v>
      </c>
      <c r="DF29" s="22">
        <f t="shared" si="36"/>
        <v>63454451</v>
      </c>
      <c r="DG29" s="22">
        <f t="shared" si="36"/>
        <v>0</v>
      </c>
      <c r="DH29" s="22">
        <f t="shared" si="36"/>
        <v>0</v>
      </c>
      <c r="DI29" s="22">
        <f t="shared" si="37"/>
        <v>0</v>
      </c>
      <c r="DJ29" s="22">
        <f t="shared" si="37"/>
        <v>0</v>
      </c>
      <c r="DK29" s="22">
        <f t="shared" si="37"/>
        <v>0</v>
      </c>
      <c r="DM29" s="26">
        <f t="shared" si="26"/>
        <v>440305826</v>
      </c>
      <c r="DN29" s="26">
        <f t="shared" si="27"/>
        <v>440305826</v>
      </c>
      <c r="DO29" s="26">
        <f t="shared" si="28"/>
        <v>440305826</v>
      </c>
    </row>
    <row r="30" spans="1:120" ht="36" customHeight="1" x14ac:dyDescent="0.25">
      <c r="A30" s="27"/>
      <c r="B30" s="191" t="s">
        <v>117</v>
      </c>
      <c r="C30" s="30" t="s">
        <v>118</v>
      </c>
      <c r="D30" s="19" t="s">
        <v>119</v>
      </c>
      <c r="E30" s="20">
        <v>410</v>
      </c>
      <c r="F30" s="21" t="s">
        <v>107</v>
      </c>
      <c r="G30" s="22">
        <f t="shared" si="29"/>
        <v>5000000</v>
      </c>
      <c r="H30" s="22"/>
      <c r="I30" s="22">
        <v>5000000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3">
        <f t="shared" si="1"/>
        <v>0</v>
      </c>
      <c r="AC30" s="22">
        <f t="shared" si="30"/>
        <v>0</v>
      </c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3">
        <f t="shared" si="3"/>
        <v>1</v>
      </c>
      <c r="AY30" s="22">
        <f t="shared" si="31"/>
        <v>5000000</v>
      </c>
      <c r="AZ30" s="22">
        <f t="shared" si="32"/>
        <v>0</v>
      </c>
      <c r="BA30" s="22">
        <f t="shared" si="32"/>
        <v>5000000</v>
      </c>
      <c r="BB30" s="22">
        <f t="shared" si="32"/>
        <v>0</v>
      </c>
      <c r="BC30" s="22">
        <f t="shared" si="32"/>
        <v>0</v>
      </c>
      <c r="BD30" s="22">
        <f t="shared" si="32"/>
        <v>0</v>
      </c>
      <c r="BE30" s="22">
        <f t="shared" si="32"/>
        <v>0</v>
      </c>
      <c r="BF30" s="22">
        <f t="shared" si="32"/>
        <v>0</v>
      </c>
      <c r="BG30" s="22">
        <f t="shared" si="32"/>
        <v>0</v>
      </c>
      <c r="BH30" s="22">
        <f t="shared" si="32"/>
        <v>0</v>
      </c>
      <c r="BI30" s="22">
        <f t="shared" si="32"/>
        <v>0</v>
      </c>
      <c r="BJ30" s="22">
        <f t="shared" si="32"/>
        <v>0</v>
      </c>
      <c r="BK30" s="22">
        <f t="shared" si="32"/>
        <v>0</v>
      </c>
      <c r="BL30" s="22">
        <f t="shared" si="32"/>
        <v>0</v>
      </c>
      <c r="BM30" s="22">
        <f t="shared" si="32"/>
        <v>0</v>
      </c>
      <c r="BN30" s="22">
        <f t="shared" si="32"/>
        <v>0</v>
      </c>
      <c r="BO30" s="22">
        <f t="shared" si="32"/>
        <v>0</v>
      </c>
      <c r="BP30" s="22">
        <f t="shared" si="33"/>
        <v>0</v>
      </c>
      <c r="BQ30" s="22">
        <f t="shared" si="33"/>
        <v>0</v>
      </c>
      <c r="BR30" s="22">
        <f t="shared" si="33"/>
        <v>0</v>
      </c>
      <c r="BS30" s="22">
        <f t="shared" si="33"/>
        <v>0</v>
      </c>
      <c r="BT30" s="23">
        <f t="shared" si="7"/>
        <v>0</v>
      </c>
      <c r="BU30" s="22">
        <f t="shared" si="34"/>
        <v>0</v>
      </c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3">
        <f t="shared" si="9"/>
        <v>1</v>
      </c>
      <c r="CQ30" s="22">
        <f t="shared" si="35"/>
        <v>5000000</v>
      </c>
      <c r="CR30" s="22">
        <f t="shared" si="38"/>
        <v>0</v>
      </c>
      <c r="CS30" s="22">
        <f t="shared" si="36"/>
        <v>5000000</v>
      </c>
      <c r="CT30" s="22">
        <f t="shared" si="36"/>
        <v>0</v>
      </c>
      <c r="CU30" s="22">
        <f t="shared" si="36"/>
        <v>0</v>
      </c>
      <c r="CV30" s="22">
        <f t="shared" si="36"/>
        <v>0</v>
      </c>
      <c r="CW30" s="22">
        <f t="shared" si="36"/>
        <v>0</v>
      </c>
      <c r="CX30" s="22">
        <f t="shared" si="36"/>
        <v>0</v>
      </c>
      <c r="CY30" s="22">
        <f t="shared" si="36"/>
        <v>0</v>
      </c>
      <c r="CZ30" s="22">
        <f t="shared" si="36"/>
        <v>0</v>
      </c>
      <c r="DA30" s="22">
        <f t="shared" si="36"/>
        <v>0</v>
      </c>
      <c r="DB30" s="22">
        <f t="shared" si="36"/>
        <v>0</v>
      </c>
      <c r="DC30" s="22">
        <f t="shared" si="36"/>
        <v>0</v>
      </c>
      <c r="DD30" s="22">
        <f t="shared" si="36"/>
        <v>0</v>
      </c>
      <c r="DE30" s="22">
        <f t="shared" si="36"/>
        <v>0</v>
      </c>
      <c r="DF30" s="22">
        <f t="shared" si="36"/>
        <v>0</v>
      </c>
      <c r="DG30" s="22">
        <f t="shared" si="36"/>
        <v>0</v>
      </c>
      <c r="DH30" s="22">
        <f t="shared" si="36"/>
        <v>0</v>
      </c>
      <c r="DI30" s="22">
        <f t="shared" si="37"/>
        <v>0</v>
      </c>
      <c r="DJ30" s="22">
        <f t="shared" si="37"/>
        <v>0</v>
      </c>
      <c r="DK30" s="22">
        <f t="shared" si="37"/>
        <v>0</v>
      </c>
      <c r="DM30" s="26">
        <f t="shared" si="26"/>
        <v>5000000</v>
      </c>
      <c r="DN30" s="26">
        <f t="shared" si="27"/>
        <v>5000000</v>
      </c>
      <c r="DO30" s="26">
        <f t="shared" si="28"/>
        <v>5000000</v>
      </c>
    </row>
    <row r="31" spans="1:120" ht="33" customHeight="1" x14ac:dyDescent="0.25">
      <c r="A31" s="27"/>
      <c r="B31" s="189"/>
      <c r="C31" s="18" t="s">
        <v>120</v>
      </c>
      <c r="D31" s="19" t="s">
        <v>121</v>
      </c>
      <c r="E31" s="20">
        <v>410</v>
      </c>
      <c r="F31" s="21" t="s">
        <v>122</v>
      </c>
      <c r="G31" s="22">
        <f t="shared" si="29"/>
        <v>5000000</v>
      </c>
      <c r="H31" s="22"/>
      <c r="I31" s="22">
        <v>5000000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3">
        <f t="shared" si="1"/>
        <v>1</v>
      </c>
      <c r="AC31" s="22">
        <f t="shared" si="30"/>
        <v>5000000</v>
      </c>
      <c r="AD31" s="22"/>
      <c r="AE31" s="22">
        <f>+'[4]MAYO 2017'!$K$663</f>
        <v>5000000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3">
        <f t="shared" si="3"/>
        <v>0</v>
      </c>
      <c r="AY31" s="22">
        <f t="shared" si="31"/>
        <v>0</v>
      </c>
      <c r="AZ31" s="22">
        <f t="shared" si="32"/>
        <v>0</v>
      </c>
      <c r="BA31" s="22">
        <f t="shared" si="32"/>
        <v>0</v>
      </c>
      <c r="BB31" s="22">
        <f t="shared" si="32"/>
        <v>0</v>
      </c>
      <c r="BC31" s="22">
        <f t="shared" si="32"/>
        <v>0</v>
      </c>
      <c r="BD31" s="22">
        <f t="shared" si="32"/>
        <v>0</v>
      </c>
      <c r="BE31" s="22">
        <f t="shared" si="32"/>
        <v>0</v>
      </c>
      <c r="BF31" s="22">
        <f t="shared" si="32"/>
        <v>0</v>
      </c>
      <c r="BG31" s="22">
        <f t="shared" si="32"/>
        <v>0</v>
      </c>
      <c r="BH31" s="22">
        <f t="shared" si="32"/>
        <v>0</v>
      </c>
      <c r="BI31" s="22">
        <f t="shared" si="32"/>
        <v>0</v>
      </c>
      <c r="BJ31" s="22">
        <f t="shared" si="32"/>
        <v>0</v>
      </c>
      <c r="BK31" s="22">
        <f t="shared" si="32"/>
        <v>0</v>
      </c>
      <c r="BL31" s="22">
        <f t="shared" si="32"/>
        <v>0</v>
      </c>
      <c r="BM31" s="22">
        <f t="shared" si="32"/>
        <v>0</v>
      </c>
      <c r="BN31" s="22">
        <f t="shared" si="32"/>
        <v>0</v>
      </c>
      <c r="BO31" s="22">
        <f t="shared" si="32"/>
        <v>0</v>
      </c>
      <c r="BP31" s="22">
        <f t="shared" si="33"/>
        <v>0</v>
      </c>
      <c r="BQ31" s="22">
        <f t="shared" si="33"/>
        <v>0</v>
      </c>
      <c r="BR31" s="22">
        <f t="shared" si="33"/>
        <v>0</v>
      </c>
      <c r="BS31" s="22">
        <f t="shared" si="33"/>
        <v>0</v>
      </c>
      <c r="BT31" s="23">
        <f t="shared" si="7"/>
        <v>1</v>
      </c>
      <c r="BU31" s="22">
        <f t="shared" si="34"/>
        <v>5000000</v>
      </c>
      <c r="BV31" s="22"/>
      <c r="BW31" s="22">
        <f>+'[4]MAYO 2017'!$H$661</f>
        <v>5000000</v>
      </c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3">
        <f t="shared" si="9"/>
        <v>0</v>
      </c>
      <c r="CQ31" s="22">
        <f t="shared" si="35"/>
        <v>0</v>
      </c>
      <c r="CR31" s="22">
        <f t="shared" si="38"/>
        <v>0</v>
      </c>
      <c r="CS31" s="22">
        <f t="shared" si="36"/>
        <v>0</v>
      </c>
      <c r="CT31" s="22">
        <f t="shared" si="36"/>
        <v>0</v>
      </c>
      <c r="CU31" s="22">
        <f t="shared" si="36"/>
        <v>0</v>
      </c>
      <c r="CV31" s="22">
        <f t="shared" si="36"/>
        <v>0</v>
      </c>
      <c r="CW31" s="22">
        <f t="shared" si="36"/>
        <v>0</v>
      </c>
      <c r="CX31" s="22">
        <f t="shared" si="36"/>
        <v>0</v>
      </c>
      <c r="CY31" s="22">
        <f t="shared" si="36"/>
        <v>0</v>
      </c>
      <c r="CZ31" s="22">
        <f t="shared" si="36"/>
        <v>0</v>
      </c>
      <c r="DA31" s="22">
        <f t="shared" si="36"/>
        <v>0</v>
      </c>
      <c r="DB31" s="22">
        <f t="shared" si="36"/>
        <v>0</v>
      </c>
      <c r="DC31" s="22">
        <f t="shared" si="36"/>
        <v>0</v>
      </c>
      <c r="DD31" s="22">
        <f t="shared" si="36"/>
        <v>0</v>
      </c>
      <c r="DE31" s="22">
        <f t="shared" si="36"/>
        <v>0</v>
      </c>
      <c r="DF31" s="22">
        <f t="shared" si="36"/>
        <v>0</v>
      </c>
      <c r="DG31" s="22">
        <f t="shared" si="36"/>
        <v>0</v>
      </c>
      <c r="DH31" s="22">
        <f t="shared" si="36"/>
        <v>0</v>
      </c>
      <c r="DI31" s="22">
        <f t="shared" si="37"/>
        <v>0</v>
      </c>
      <c r="DJ31" s="22">
        <f t="shared" si="37"/>
        <v>0</v>
      </c>
      <c r="DK31" s="22">
        <f t="shared" si="37"/>
        <v>0</v>
      </c>
      <c r="DM31" s="26">
        <f t="shared" si="26"/>
        <v>5000000</v>
      </c>
      <c r="DN31" s="26">
        <f t="shared" si="27"/>
        <v>5000000</v>
      </c>
      <c r="DO31" s="26">
        <f t="shared" si="28"/>
        <v>5000000</v>
      </c>
    </row>
    <row r="32" spans="1:120" ht="56.25" customHeight="1" x14ac:dyDescent="0.25">
      <c r="A32" s="27"/>
      <c r="B32" s="189"/>
      <c r="C32" s="18" t="s">
        <v>123</v>
      </c>
      <c r="D32" s="19" t="s">
        <v>124</v>
      </c>
      <c r="E32" s="20">
        <v>410</v>
      </c>
      <c r="F32" s="21" t="s">
        <v>122</v>
      </c>
      <c r="G32" s="22">
        <f t="shared" si="29"/>
        <v>0</v>
      </c>
      <c r="H32" s="22"/>
      <c r="I32" s="22">
        <f>25000000-25000000</f>
        <v>0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3" t="e">
        <f t="shared" si="1"/>
        <v>#DIV/0!</v>
      </c>
      <c r="AC32" s="22">
        <f t="shared" si="30"/>
        <v>0</v>
      </c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3" t="e">
        <f t="shared" si="3"/>
        <v>#DIV/0!</v>
      </c>
      <c r="AY32" s="22">
        <f t="shared" si="31"/>
        <v>0</v>
      </c>
      <c r="AZ32" s="22">
        <f t="shared" si="32"/>
        <v>0</v>
      </c>
      <c r="BA32" s="22">
        <f t="shared" si="32"/>
        <v>0</v>
      </c>
      <c r="BB32" s="22">
        <f t="shared" si="32"/>
        <v>0</v>
      </c>
      <c r="BC32" s="22">
        <f t="shared" si="32"/>
        <v>0</v>
      </c>
      <c r="BD32" s="22">
        <f t="shared" si="32"/>
        <v>0</v>
      </c>
      <c r="BE32" s="22">
        <f t="shared" si="32"/>
        <v>0</v>
      </c>
      <c r="BF32" s="22">
        <f t="shared" si="32"/>
        <v>0</v>
      </c>
      <c r="BG32" s="22">
        <f t="shared" si="32"/>
        <v>0</v>
      </c>
      <c r="BH32" s="22">
        <f t="shared" si="32"/>
        <v>0</v>
      </c>
      <c r="BI32" s="22">
        <f t="shared" si="32"/>
        <v>0</v>
      </c>
      <c r="BJ32" s="22">
        <f t="shared" si="32"/>
        <v>0</v>
      </c>
      <c r="BK32" s="22">
        <f t="shared" si="32"/>
        <v>0</v>
      </c>
      <c r="BL32" s="22">
        <f t="shared" si="32"/>
        <v>0</v>
      </c>
      <c r="BM32" s="22">
        <f t="shared" si="32"/>
        <v>0</v>
      </c>
      <c r="BN32" s="22">
        <f t="shared" si="32"/>
        <v>0</v>
      </c>
      <c r="BO32" s="22">
        <f t="shared" si="32"/>
        <v>0</v>
      </c>
      <c r="BP32" s="22">
        <f t="shared" si="33"/>
        <v>0</v>
      </c>
      <c r="BQ32" s="22">
        <f t="shared" si="33"/>
        <v>0</v>
      </c>
      <c r="BR32" s="22">
        <f t="shared" si="33"/>
        <v>0</v>
      </c>
      <c r="BS32" s="22">
        <f t="shared" si="33"/>
        <v>0</v>
      </c>
      <c r="BT32" s="23" t="e">
        <f t="shared" si="7"/>
        <v>#DIV/0!</v>
      </c>
      <c r="BU32" s="22">
        <f t="shared" si="34"/>
        <v>0</v>
      </c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3" t="e">
        <f t="shared" si="9"/>
        <v>#DIV/0!</v>
      </c>
      <c r="CQ32" s="22">
        <f t="shared" si="35"/>
        <v>0</v>
      </c>
      <c r="CR32" s="22">
        <f t="shared" si="38"/>
        <v>0</v>
      </c>
      <c r="CS32" s="22">
        <f t="shared" si="36"/>
        <v>0</v>
      </c>
      <c r="CT32" s="22">
        <f t="shared" si="36"/>
        <v>0</v>
      </c>
      <c r="CU32" s="22">
        <f t="shared" si="36"/>
        <v>0</v>
      </c>
      <c r="CV32" s="22">
        <f t="shared" si="36"/>
        <v>0</v>
      </c>
      <c r="CW32" s="22">
        <f t="shared" si="36"/>
        <v>0</v>
      </c>
      <c r="CX32" s="22">
        <f t="shared" si="36"/>
        <v>0</v>
      </c>
      <c r="CY32" s="22">
        <f t="shared" si="36"/>
        <v>0</v>
      </c>
      <c r="CZ32" s="22">
        <f t="shared" si="36"/>
        <v>0</v>
      </c>
      <c r="DA32" s="22">
        <f t="shared" si="36"/>
        <v>0</v>
      </c>
      <c r="DB32" s="22">
        <f t="shared" si="36"/>
        <v>0</v>
      </c>
      <c r="DC32" s="22">
        <f t="shared" si="36"/>
        <v>0</v>
      </c>
      <c r="DD32" s="22">
        <f t="shared" si="36"/>
        <v>0</v>
      </c>
      <c r="DE32" s="22">
        <f t="shared" si="36"/>
        <v>0</v>
      </c>
      <c r="DF32" s="22">
        <f t="shared" si="36"/>
        <v>0</v>
      </c>
      <c r="DG32" s="22">
        <f t="shared" si="36"/>
        <v>0</v>
      </c>
      <c r="DH32" s="22">
        <f t="shared" si="36"/>
        <v>0</v>
      </c>
      <c r="DI32" s="22">
        <f t="shared" si="37"/>
        <v>0</v>
      </c>
      <c r="DJ32" s="22">
        <f t="shared" si="37"/>
        <v>0</v>
      </c>
      <c r="DK32" s="22">
        <f t="shared" si="37"/>
        <v>0</v>
      </c>
      <c r="DM32" s="26">
        <f t="shared" si="26"/>
        <v>0</v>
      </c>
      <c r="DN32" s="26">
        <f t="shared" si="27"/>
        <v>0</v>
      </c>
      <c r="DO32" s="26">
        <f t="shared" si="28"/>
        <v>0</v>
      </c>
    </row>
    <row r="33" spans="1:120" ht="35.25" customHeight="1" x14ac:dyDescent="0.25">
      <c r="A33" s="27"/>
      <c r="B33" s="189"/>
      <c r="C33" s="18" t="s">
        <v>125</v>
      </c>
      <c r="D33" s="19" t="s">
        <v>126</v>
      </c>
      <c r="E33" s="20">
        <v>410</v>
      </c>
      <c r="F33" s="21" t="s">
        <v>122</v>
      </c>
      <c r="G33" s="22">
        <f t="shared" si="29"/>
        <v>18000000</v>
      </c>
      <c r="H33" s="22"/>
      <c r="I33" s="22">
        <f>25000000-7000000</f>
        <v>18000000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3">
        <f t="shared" si="1"/>
        <v>0.72222222222222221</v>
      </c>
      <c r="AC33" s="22">
        <f t="shared" si="30"/>
        <v>13000000</v>
      </c>
      <c r="AD33" s="22"/>
      <c r="AE33" s="22">
        <f>+'[7]FEBRERO 2017'!$K$449</f>
        <v>13000000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3">
        <f t="shared" si="3"/>
        <v>0.27777777777777779</v>
      </c>
      <c r="AY33" s="22">
        <f t="shared" si="31"/>
        <v>5000000</v>
      </c>
      <c r="AZ33" s="22">
        <f t="shared" si="32"/>
        <v>0</v>
      </c>
      <c r="BA33" s="22">
        <f t="shared" si="32"/>
        <v>5000000</v>
      </c>
      <c r="BB33" s="22">
        <f t="shared" si="32"/>
        <v>0</v>
      </c>
      <c r="BC33" s="22">
        <f t="shared" si="32"/>
        <v>0</v>
      </c>
      <c r="BD33" s="22">
        <f t="shared" si="32"/>
        <v>0</v>
      </c>
      <c r="BE33" s="22">
        <f t="shared" si="32"/>
        <v>0</v>
      </c>
      <c r="BF33" s="22">
        <f t="shared" si="32"/>
        <v>0</v>
      </c>
      <c r="BG33" s="22">
        <f t="shared" si="32"/>
        <v>0</v>
      </c>
      <c r="BH33" s="22">
        <f t="shared" si="32"/>
        <v>0</v>
      </c>
      <c r="BI33" s="22">
        <f t="shared" si="32"/>
        <v>0</v>
      </c>
      <c r="BJ33" s="22">
        <f t="shared" si="32"/>
        <v>0</v>
      </c>
      <c r="BK33" s="22">
        <f t="shared" si="32"/>
        <v>0</v>
      </c>
      <c r="BL33" s="22">
        <f t="shared" si="32"/>
        <v>0</v>
      </c>
      <c r="BM33" s="22">
        <f t="shared" si="32"/>
        <v>0</v>
      </c>
      <c r="BN33" s="22">
        <f t="shared" si="32"/>
        <v>0</v>
      </c>
      <c r="BO33" s="22">
        <f t="shared" si="32"/>
        <v>0</v>
      </c>
      <c r="BP33" s="22">
        <f t="shared" si="33"/>
        <v>0</v>
      </c>
      <c r="BQ33" s="22">
        <f t="shared" si="33"/>
        <v>0</v>
      </c>
      <c r="BR33" s="22">
        <f t="shared" si="33"/>
        <v>0</v>
      </c>
      <c r="BS33" s="22">
        <f t="shared" si="33"/>
        <v>0</v>
      </c>
      <c r="BT33" s="23">
        <f t="shared" si="7"/>
        <v>0.55751850000000003</v>
      </c>
      <c r="BU33" s="22">
        <f t="shared" si="34"/>
        <v>10035333</v>
      </c>
      <c r="BV33" s="22"/>
      <c r="BW33" s="22">
        <f>+'[6]JULIO 2017'!$H$1004</f>
        <v>10035333</v>
      </c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3">
        <f t="shared" si="9"/>
        <v>0.44248149999999997</v>
      </c>
      <c r="CQ33" s="22">
        <f t="shared" si="35"/>
        <v>7964667</v>
      </c>
      <c r="CR33" s="22">
        <f t="shared" si="38"/>
        <v>0</v>
      </c>
      <c r="CS33" s="22">
        <f t="shared" si="36"/>
        <v>7964667</v>
      </c>
      <c r="CT33" s="22">
        <f t="shared" si="36"/>
        <v>0</v>
      </c>
      <c r="CU33" s="22">
        <f t="shared" si="36"/>
        <v>0</v>
      </c>
      <c r="CV33" s="22">
        <f t="shared" si="36"/>
        <v>0</v>
      </c>
      <c r="CW33" s="22">
        <f t="shared" si="36"/>
        <v>0</v>
      </c>
      <c r="CX33" s="22">
        <f t="shared" si="36"/>
        <v>0</v>
      </c>
      <c r="CY33" s="22">
        <f t="shared" si="36"/>
        <v>0</v>
      </c>
      <c r="CZ33" s="22">
        <f t="shared" si="36"/>
        <v>0</v>
      </c>
      <c r="DA33" s="22">
        <f t="shared" si="36"/>
        <v>0</v>
      </c>
      <c r="DB33" s="22">
        <f t="shared" si="36"/>
        <v>0</v>
      </c>
      <c r="DC33" s="22">
        <f t="shared" si="36"/>
        <v>0</v>
      </c>
      <c r="DD33" s="22">
        <f t="shared" si="36"/>
        <v>0</v>
      </c>
      <c r="DE33" s="22">
        <f t="shared" si="36"/>
        <v>0</v>
      </c>
      <c r="DF33" s="22">
        <f t="shared" si="36"/>
        <v>0</v>
      </c>
      <c r="DG33" s="22">
        <f t="shared" si="36"/>
        <v>0</v>
      </c>
      <c r="DH33" s="22">
        <f t="shared" si="36"/>
        <v>0</v>
      </c>
      <c r="DI33" s="22">
        <f t="shared" si="37"/>
        <v>0</v>
      </c>
      <c r="DJ33" s="22">
        <f t="shared" si="37"/>
        <v>0</v>
      </c>
      <c r="DK33" s="22">
        <f t="shared" si="37"/>
        <v>0</v>
      </c>
      <c r="DM33" s="26">
        <f t="shared" si="26"/>
        <v>18000000</v>
      </c>
      <c r="DN33" s="26">
        <f t="shared" si="27"/>
        <v>18000000</v>
      </c>
      <c r="DO33" s="26">
        <f t="shared" si="28"/>
        <v>18000000</v>
      </c>
    </row>
    <row r="34" spans="1:120" ht="37.5" customHeight="1" x14ac:dyDescent="0.25">
      <c r="A34" s="27"/>
      <c r="B34" s="189"/>
      <c r="C34" s="18" t="s">
        <v>127</v>
      </c>
      <c r="D34" s="19" t="s">
        <v>128</v>
      </c>
      <c r="E34" s="20">
        <v>410</v>
      </c>
      <c r="F34" s="21" t="s">
        <v>129</v>
      </c>
      <c r="G34" s="22">
        <f t="shared" si="29"/>
        <v>50000000</v>
      </c>
      <c r="H34" s="22"/>
      <c r="I34" s="22">
        <v>45000000</v>
      </c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>
        <v>5000000</v>
      </c>
      <c r="AB34" s="23">
        <f t="shared" si="1"/>
        <v>0.89916090000000004</v>
      </c>
      <c r="AC34" s="22">
        <f t="shared" si="30"/>
        <v>44958045</v>
      </c>
      <c r="AD34" s="22"/>
      <c r="AE34" s="22">
        <f>+'[3]JUNIO 2017'!$K$786</f>
        <v>44958045</v>
      </c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3">
        <f t="shared" si="3"/>
        <v>0.10083909999999996</v>
      </c>
      <c r="AY34" s="22">
        <f t="shared" si="31"/>
        <v>5041955</v>
      </c>
      <c r="AZ34" s="22">
        <f t="shared" si="32"/>
        <v>0</v>
      </c>
      <c r="BA34" s="22">
        <f t="shared" si="32"/>
        <v>41955</v>
      </c>
      <c r="BB34" s="22">
        <f t="shared" si="32"/>
        <v>0</v>
      </c>
      <c r="BC34" s="22">
        <f t="shared" si="32"/>
        <v>0</v>
      </c>
      <c r="BD34" s="22">
        <f t="shared" si="32"/>
        <v>0</v>
      </c>
      <c r="BE34" s="22">
        <f t="shared" si="32"/>
        <v>0</v>
      </c>
      <c r="BF34" s="22">
        <f t="shared" si="32"/>
        <v>0</v>
      </c>
      <c r="BG34" s="22">
        <f t="shared" si="32"/>
        <v>0</v>
      </c>
      <c r="BH34" s="22">
        <f t="shared" si="32"/>
        <v>0</v>
      </c>
      <c r="BI34" s="22">
        <f t="shared" si="32"/>
        <v>0</v>
      </c>
      <c r="BJ34" s="22">
        <f t="shared" si="32"/>
        <v>0</v>
      </c>
      <c r="BK34" s="22">
        <f t="shared" si="32"/>
        <v>0</v>
      </c>
      <c r="BL34" s="22">
        <f t="shared" si="32"/>
        <v>0</v>
      </c>
      <c r="BM34" s="22">
        <f t="shared" si="32"/>
        <v>0</v>
      </c>
      <c r="BN34" s="22">
        <f t="shared" si="32"/>
        <v>0</v>
      </c>
      <c r="BO34" s="22">
        <f t="shared" si="32"/>
        <v>0</v>
      </c>
      <c r="BP34" s="22">
        <f t="shared" si="33"/>
        <v>0</v>
      </c>
      <c r="BQ34" s="22">
        <f t="shared" si="33"/>
        <v>0</v>
      </c>
      <c r="BR34" s="22">
        <f t="shared" si="33"/>
        <v>0</v>
      </c>
      <c r="BS34" s="22">
        <f t="shared" si="33"/>
        <v>5000000</v>
      </c>
      <c r="BT34" s="23">
        <f t="shared" si="7"/>
        <v>0.89916090000000004</v>
      </c>
      <c r="BU34" s="22">
        <f t="shared" si="34"/>
        <v>44958045</v>
      </c>
      <c r="BV34" s="22"/>
      <c r="BW34" s="22">
        <f>+'[3]JUNIO 2017'!$H$784</f>
        <v>44958045</v>
      </c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3">
        <f t="shared" si="9"/>
        <v>0.10083909999999996</v>
      </c>
      <c r="CQ34" s="22">
        <f t="shared" si="35"/>
        <v>5041955</v>
      </c>
      <c r="CR34" s="22">
        <f t="shared" si="38"/>
        <v>0</v>
      </c>
      <c r="CS34" s="22">
        <f t="shared" si="36"/>
        <v>41955</v>
      </c>
      <c r="CT34" s="22">
        <f t="shared" si="36"/>
        <v>0</v>
      </c>
      <c r="CU34" s="22">
        <f t="shared" si="36"/>
        <v>0</v>
      </c>
      <c r="CV34" s="22">
        <f t="shared" si="36"/>
        <v>0</v>
      </c>
      <c r="CW34" s="22">
        <f t="shared" si="36"/>
        <v>0</v>
      </c>
      <c r="CX34" s="22">
        <f t="shared" si="36"/>
        <v>0</v>
      </c>
      <c r="CY34" s="22">
        <f t="shared" si="36"/>
        <v>0</v>
      </c>
      <c r="CZ34" s="22">
        <f t="shared" si="36"/>
        <v>0</v>
      </c>
      <c r="DA34" s="22">
        <f t="shared" si="36"/>
        <v>0</v>
      </c>
      <c r="DB34" s="22">
        <f t="shared" si="36"/>
        <v>0</v>
      </c>
      <c r="DC34" s="22">
        <f t="shared" si="36"/>
        <v>0</v>
      </c>
      <c r="DD34" s="22">
        <f t="shared" si="36"/>
        <v>0</v>
      </c>
      <c r="DE34" s="22">
        <f t="shared" si="36"/>
        <v>0</v>
      </c>
      <c r="DF34" s="22">
        <f t="shared" si="36"/>
        <v>0</v>
      </c>
      <c r="DG34" s="22">
        <f t="shared" si="36"/>
        <v>0</v>
      </c>
      <c r="DH34" s="22">
        <f t="shared" si="36"/>
        <v>0</v>
      </c>
      <c r="DI34" s="22">
        <f t="shared" si="37"/>
        <v>0</v>
      </c>
      <c r="DJ34" s="22">
        <f t="shared" si="37"/>
        <v>0</v>
      </c>
      <c r="DK34" s="22">
        <f t="shared" si="37"/>
        <v>5000000</v>
      </c>
      <c r="DM34" s="26">
        <f t="shared" si="26"/>
        <v>50000000</v>
      </c>
      <c r="DN34" s="26">
        <f t="shared" si="27"/>
        <v>50000000</v>
      </c>
      <c r="DO34" s="26">
        <f t="shared" si="28"/>
        <v>50000000</v>
      </c>
    </row>
    <row r="35" spans="1:120" ht="33.75" customHeight="1" x14ac:dyDescent="0.25">
      <c r="A35" s="27"/>
      <c r="B35" s="189"/>
      <c r="C35" s="18" t="s">
        <v>130</v>
      </c>
      <c r="D35" s="19" t="s">
        <v>131</v>
      </c>
      <c r="E35" s="20">
        <v>410</v>
      </c>
      <c r="F35" s="21" t="s">
        <v>132</v>
      </c>
      <c r="G35" s="22">
        <f t="shared" si="29"/>
        <v>55000000</v>
      </c>
      <c r="H35" s="22"/>
      <c r="I35" s="22">
        <v>45000000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>
        <f>5000000+5000000</f>
        <v>10000000</v>
      </c>
      <c r="AB35" s="23">
        <f t="shared" si="1"/>
        <v>0.63194709090909096</v>
      </c>
      <c r="AC35" s="22">
        <f t="shared" si="30"/>
        <v>34757090</v>
      </c>
      <c r="AD35" s="22"/>
      <c r="AE35" s="22">
        <f>+'[5]AGOSTO 2017'!$K$1234</f>
        <v>28207090</v>
      </c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>
        <f>+'[6]JULIO 2017'!$AC$1037</f>
        <v>6550000</v>
      </c>
      <c r="AX35" s="23">
        <f t="shared" si="3"/>
        <v>0.36805290909090904</v>
      </c>
      <c r="AY35" s="22">
        <f t="shared" si="31"/>
        <v>20242910</v>
      </c>
      <c r="AZ35" s="22">
        <f t="shared" si="32"/>
        <v>0</v>
      </c>
      <c r="BA35" s="22">
        <f t="shared" si="32"/>
        <v>16792910</v>
      </c>
      <c r="BB35" s="22">
        <f t="shared" si="32"/>
        <v>0</v>
      </c>
      <c r="BC35" s="22">
        <f t="shared" si="32"/>
        <v>0</v>
      </c>
      <c r="BD35" s="22">
        <f t="shared" si="32"/>
        <v>0</v>
      </c>
      <c r="BE35" s="22">
        <f t="shared" si="32"/>
        <v>0</v>
      </c>
      <c r="BF35" s="22">
        <f t="shared" si="32"/>
        <v>0</v>
      </c>
      <c r="BG35" s="22">
        <f t="shared" si="32"/>
        <v>0</v>
      </c>
      <c r="BH35" s="22">
        <f t="shared" si="32"/>
        <v>0</v>
      </c>
      <c r="BI35" s="22">
        <f t="shared" si="32"/>
        <v>0</v>
      </c>
      <c r="BJ35" s="22">
        <f t="shared" si="32"/>
        <v>0</v>
      </c>
      <c r="BK35" s="22">
        <f t="shared" si="32"/>
        <v>0</v>
      </c>
      <c r="BL35" s="22">
        <f t="shared" si="32"/>
        <v>0</v>
      </c>
      <c r="BM35" s="22">
        <f t="shared" si="32"/>
        <v>0</v>
      </c>
      <c r="BN35" s="22">
        <f t="shared" si="32"/>
        <v>0</v>
      </c>
      <c r="BO35" s="22">
        <f t="shared" si="32"/>
        <v>0</v>
      </c>
      <c r="BP35" s="22">
        <f t="shared" si="33"/>
        <v>0</v>
      </c>
      <c r="BQ35" s="22">
        <f t="shared" si="33"/>
        <v>0</v>
      </c>
      <c r="BR35" s="22">
        <f t="shared" si="33"/>
        <v>0</v>
      </c>
      <c r="BS35" s="22">
        <f t="shared" si="33"/>
        <v>3450000</v>
      </c>
      <c r="BT35" s="23">
        <f t="shared" si="7"/>
        <v>0.63194709090909096</v>
      </c>
      <c r="BU35" s="22">
        <f t="shared" si="34"/>
        <v>34757090</v>
      </c>
      <c r="BV35" s="22"/>
      <c r="BW35" s="22">
        <f>+'[5]AGOSTO 2017'!$H$1235+'[5]AGOSTO 2017'!$H$1237+'[5]AGOSTO 2017'!$H$1246+'[5]AGOSTO 2017'!$H$1250+'[5]AGOSTO 2017'!$H$1251+'[5]AGOSTO 2017'!$H$1253</f>
        <v>28207090</v>
      </c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>
        <f>+'[6]JULIO 2017'!$H$1035-'[6]JULIO 2017'!$K$1037</f>
        <v>6550000</v>
      </c>
      <c r="CP35" s="23">
        <f t="shared" si="9"/>
        <v>0.36805290909090904</v>
      </c>
      <c r="CQ35" s="22">
        <f t="shared" si="35"/>
        <v>20242910</v>
      </c>
      <c r="CR35" s="22">
        <f t="shared" si="38"/>
        <v>0</v>
      </c>
      <c r="CS35" s="22">
        <f t="shared" si="36"/>
        <v>16792910</v>
      </c>
      <c r="CT35" s="22">
        <f t="shared" si="36"/>
        <v>0</v>
      </c>
      <c r="CU35" s="22">
        <f t="shared" si="36"/>
        <v>0</v>
      </c>
      <c r="CV35" s="22">
        <f t="shared" si="36"/>
        <v>0</v>
      </c>
      <c r="CW35" s="22">
        <f t="shared" si="36"/>
        <v>0</v>
      </c>
      <c r="CX35" s="22">
        <f t="shared" si="36"/>
        <v>0</v>
      </c>
      <c r="CY35" s="22">
        <f t="shared" si="36"/>
        <v>0</v>
      </c>
      <c r="CZ35" s="22">
        <f t="shared" si="36"/>
        <v>0</v>
      </c>
      <c r="DA35" s="22">
        <f t="shared" si="36"/>
        <v>0</v>
      </c>
      <c r="DB35" s="22">
        <f t="shared" si="36"/>
        <v>0</v>
      </c>
      <c r="DC35" s="22">
        <f t="shared" si="36"/>
        <v>0</v>
      </c>
      <c r="DD35" s="22">
        <f t="shared" si="36"/>
        <v>0</v>
      </c>
      <c r="DE35" s="22">
        <f t="shared" si="36"/>
        <v>0</v>
      </c>
      <c r="DF35" s="22">
        <f t="shared" si="36"/>
        <v>0</v>
      </c>
      <c r="DG35" s="22">
        <f t="shared" si="36"/>
        <v>0</v>
      </c>
      <c r="DH35" s="22">
        <f t="shared" si="36"/>
        <v>0</v>
      </c>
      <c r="DI35" s="22">
        <f t="shared" si="37"/>
        <v>0</v>
      </c>
      <c r="DJ35" s="22">
        <f t="shared" si="37"/>
        <v>0</v>
      </c>
      <c r="DK35" s="22">
        <f t="shared" si="37"/>
        <v>3450000</v>
      </c>
      <c r="DM35" s="26">
        <f t="shared" si="26"/>
        <v>55000000</v>
      </c>
      <c r="DN35" s="26">
        <f t="shared" si="27"/>
        <v>55000000</v>
      </c>
      <c r="DO35" s="26">
        <f t="shared" si="28"/>
        <v>55000000</v>
      </c>
    </row>
    <row r="36" spans="1:120" ht="30.75" customHeight="1" x14ac:dyDescent="0.25">
      <c r="A36" s="27"/>
      <c r="B36" s="189"/>
      <c r="C36" s="18" t="s">
        <v>133</v>
      </c>
      <c r="D36" s="19" t="s">
        <v>134</v>
      </c>
      <c r="E36" s="20">
        <v>410</v>
      </c>
      <c r="F36" s="21" t="s">
        <v>112</v>
      </c>
      <c r="G36" s="22">
        <f t="shared" si="29"/>
        <v>90000000</v>
      </c>
      <c r="H36" s="22"/>
      <c r="I36" s="22"/>
      <c r="J36" s="22">
        <v>80000000</v>
      </c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>
        <v>10000000</v>
      </c>
      <c r="AB36" s="23">
        <f t="shared" si="1"/>
        <v>0.36018442222222224</v>
      </c>
      <c r="AC36" s="22">
        <f t="shared" si="30"/>
        <v>32416598</v>
      </c>
      <c r="AD36" s="22"/>
      <c r="AE36" s="22"/>
      <c r="AF36" s="22">
        <f>+'[5]AGOSTO 2017'!$L$1257</f>
        <v>24910000</v>
      </c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>
        <f>+'[5]AGOSTO 2017'!$AC$1257</f>
        <v>7506598</v>
      </c>
      <c r="AX36" s="23">
        <f t="shared" si="3"/>
        <v>0.63981557777777776</v>
      </c>
      <c r="AY36" s="22">
        <f t="shared" si="31"/>
        <v>57583402</v>
      </c>
      <c r="AZ36" s="22">
        <f t="shared" si="32"/>
        <v>0</v>
      </c>
      <c r="BA36" s="22">
        <f t="shared" si="32"/>
        <v>0</v>
      </c>
      <c r="BB36" s="22">
        <f t="shared" si="32"/>
        <v>55090000</v>
      </c>
      <c r="BC36" s="22">
        <f t="shared" si="32"/>
        <v>0</v>
      </c>
      <c r="BD36" s="22">
        <f t="shared" si="32"/>
        <v>0</v>
      </c>
      <c r="BE36" s="22">
        <f t="shared" si="32"/>
        <v>0</v>
      </c>
      <c r="BF36" s="22">
        <f t="shared" si="32"/>
        <v>0</v>
      </c>
      <c r="BG36" s="22">
        <f t="shared" si="32"/>
        <v>0</v>
      </c>
      <c r="BH36" s="22">
        <f t="shared" si="32"/>
        <v>0</v>
      </c>
      <c r="BI36" s="22">
        <f t="shared" si="32"/>
        <v>0</v>
      </c>
      <c r="BJ36" s="22">
        <f t="shared" si="32"/>
        <v>0</v>
      </c>
      <c r="BK36" s="22">
        <f t="shared" si="32"/>
        <v>0</v>
      </c>
      <c r="BL36" s="22">
        <f t="shared" si="32"/>
        <v>0</v>
      </c>
      <c r="BM36" s="22">
        <f t="shared" si="32"/>
        <v>0</v>
      </c>
      <c r="BN36" s="22">
        <f t="shared" si="32"/>
        <v>0</v>
      </c>
      <c r="BO36" s="22">
        <f t="shared" si="32"/>
        <v>0</v>
      </c>
      <c r="BP36" s="22">
        <f t="shared" si="33"/>
        <v>0</v>
      </c>
      <c r="BQ36" s="22">
        <f t="shared" si="33"/>
        <v>0</v>
      </c>
      <c r="BR36" s="22">
        <f t="shared" si="33"/>
        <v>0</v>
      </c>
      <c r="BS36" s="22">
        <f t="shared" si="33"/>
        <v>2493402</v>
      </c>
      <c r="BT36" s="23">
        <f t="shared" si="7"/>
        <v>0.32351774444444442</v>
      </c>
      <c r="BU36" s="22">
        <f t="shared" si="34"/>
        <v>29116597</v>
      </c>
      <c r="BV36" s="22"/>
      <c r="BW36" s="22"/>
      <c r="BX36" s="22">
        <f>+'[5]AGOSTO 2017'!$H$1258+'[5]AGOSTO 2017'!$H$1262+'[5]AGOSTO 2017'!$H$1265+'[5]AGOSTO 2017'!$H$1267+'[5]AGOSTO 2017'!$H$1269+'[5]AGOSTO 2017'!$H$1271+'[5]AGOSTO 2017'!$H$1273+'[5]AGOSTO 2017'!$H$1275+'[5]AGOSTO 2017'!$H$1278</f>
        <v>24909999</v>
      </c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>
        <f>+'[4]MAYO 2017'!$H$721+'[4]MAYO 2017'!$H$726</f>
        <v>4206598</v>
      </c>
      <c r="CP36" s="23">
        <f t="shared" si="9"/>
        <v>0.67648225555555563</v>
      </c>
      <c r="CQ36" s="22">
        <f t="shared" si="35"/>
        <v>60883403</v>
      </c>
      <c r="CR36" s="22">
        <f t="shared" si="38"/>
        <v>0</v>
      </c>
      <c r="CS36" s="22">
        <f t="shared" si="36"/>
        <v>0</v>
      </c>
      <c r="CT36" s="22">
        <f t="shared" si="36"/>
        <v>55090001</v>
      </c>
      <c r="CU36" s="22">
        <f t="shared" si="36"/>
        <v>0</v>
      </c>
      <c r="CV36" s="22">
        <f t="shared" si="36"/>
        <v>0</v>
      </c>
      <c r="CW36" s="22">
        <f t="shared" si="36"/>
        <v>0</v>
      </c>
      <c r="CX36" s="22">
        <f t="shared" si="36"/>
        <v>0</v>
      </c>
      <c r="CY36" s="22">
        <f t="shared" si="36"/>
        <v>0</v>
      </c>
      <c r="CZ36" s="22">
        <f t="shared" si="36"/>
        <v>0</v>
      </c>
      <c r="DA36" s="22">
        <f t="shared" si="36"/>
        <v>0</v>
      </c>
      <c r="DB36" s="22">
        <f t="shared" si="36"/>
        <v>0</v>
      </c>
      <c r="DC36" s="22">
        <f t="shared" si="36"/>
        <v>0</v>
      </c>
      <c r="DD36" s="22">
        <f t="shared" si="36"/>
        <v>0</v>
      </c>
      <c r="DE36" s="22">
        <f t="shared" si="36"/>
        <v>0</v>
      </c>
      <c r="DF36" s="22">
        <f t="shared" si="36"/>
        <v>0</v>
      </c>
      <c r="DG36" s="22">
        <f t="shared" si="36"/>
        <v>0</v>
      </c>
      <c r="DH36" s="22">
        <f t="shared" si="36"/>
        <v>0</v>
      </c>
      <c r="DI36" s="22">
        <f t="shared" si="37"/>
        <v>0</v>
      </c>
      <c r="DJ36" s="22">
        <f t="shared" si="37"/>
        <v>0</v>
      </c>
      <c r="DK36" s="22">
        <f t="shared" si="37"/>
        <v>5793402</v>
      </c>
      <c r="DM36" s="26">
        <f t="shared" si="26"/>
        <v>90000000</v>
      </c>
      <c r="DN36" s="26">
        <f t="shared" si="27"/>
        <v>90000000</v>
      </c>
      <c r="DO36" s="26">
        <f t="shared" si="28"/>
        <v>90000000</v>
      </c>
    </row>
    <row r="37" spans="1:120" ht="38.25" customHeight="1" x14ac:dyDescent="0.25">
      <c r="A37" s="27"/>
      <c r="B37" s="189"/>
      <c r="C37" s="18" t="s">
        <v>135</v>
      </c>
      <c r="D37" s="19" t="s">
        <v>136</v>
      </c>
      <c r="E37" s="20">
        <v>410</v>
      </c>
      <c r="F37" s="21" t="s">
        <v>137</v>
      </c>
      <c r="G37" s="22">
        <f t="shared" si="29"/>
        <v>8000000</v>
      </c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>
        <v>8000000</v>
      </c>
      <c r="AB37" s="23">
        <f t="shared" si="1"/>
        <v>0.1136395</v>
      </c>
      <c r="AC37" s="22">
        <f t="shared" si="30"/>
        <v>909116</v>
      </c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>
        <f>+'[5]AGOSTO 2017'!$AC$1282</f>
        <v>909116</v>
      </c>
      <c r="AX37" s="23">
        <f t="shared" si="3"/>
        <v>0.8863605</v>
      </c>
      <c r="AY37" s="22">
        <f t="shared" si="31"/>
        <v>7090884</v>
      </c>
      <c r="AZ37" s="22">
        <f t="shared" si="32"/>
        <v>0</v>
      </c>
      <c r="BA37" s="22">
        <f t="shared" si="32"/>
        <v>0</v>
      </c>
      <c r="BB37" s="22">
        <f t="shared" si="32"/>
        <v>0</v>
      </c>
      <c r="BC37" s="22">
        <f t="shared" si="32"/>
        <v>0</v>
      </c>
      <c r="BD37" s="22">
        <f t="shared" si="32"/>
        <v>0</v>
      </c>
      <c r="BE37" s="22">
        <f t="shared" si="32"/>
        <v>0</v>
      </c>
      <c r="BF37" s="22">
        <f t="shared" si="32"/>
        <v>0</v>
      </c>
      <c r="BG37" s="22">
        <f t="shared" si="32"/>
        <v>0</v>
      </c>
      <c r="BH37" s="22">
        <f t="shared" si="32"/>
        <v>0</v>
      </c>
      <c r="BI37" s="22">
        <f t="shared" si="32"/>
        <v>0</v>
      </c>
      <c r="BJ37" s="22">
        <f t="shared" si="32"/>
        <v>0</v>
      </c>
      <c r="BK37" s="22">
        <f t="shared" si="32"/>
        <v>0</v>
      </c>
      <c r="BL37" s="22">
        <f t="shared" si="32"/>
        <v>0</v>
      </c>
      <c r="BM37" s="22">
        <f t="shared" si="32"/>
        <v>0</v>
      </c>
      <c r="BN37" s="22">
        <f t="shared" si="32"/>
        <v>0</v>
      </c>
      <c r="BO37" s="22">
        <f t="shared" si="32"/>
        <v>0</v>
      </c>
      <c r="BP37" s="22">
        <f t="shared" si="33"/>
        <v>0</v>
      </c>
      <c r="BQ37" s="22">
        <f t="shared" si="33"/>
        <v>0</v>
      </c>
      <c r="BR37" s="22">
        <f t="shared" si="33"/>
        <v>0</v>
      </c>
      <c r="BS37" s="22">
        <f t="shared" si="33"/>
        <v>7090884</v>
      </c>
      <c r="BT37" s="23">
        <f t="shared" si="7"/>
        <v>0.1136395</v>
      </c>
      <c r="BU37" s="22">
        <f t="shared" si="34"/>
        <v>909116</v>
      </c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>
        <f>+'[5]AGOSTO 2017'!$H$1280</f>
        <v>909116</v>
      </c>
      <c r="CP37" s="23">
        <f t="shared" si="9"/>
        <v>0.8863605</v>
      </c>
      <c r="CQ37" s="22">
        <f t="shared" si="35"/>
        <v>7090884</v>
      </c>
      <c r="CR37" s="22">
        <f t="shared" si="38"/>
        <v>0</v>
      </c>
      <c r="CS37" s="22">
        <f t="shared" si="36"/>
        <v>0</v>
      </c>
      <c r="CT37" s="22">
        <f t="shared" si="36"/>
        <v>0</v>
      </c>
      <c r="CU37" s="22">
        <f t="shared" si="36"/>
        <v>0</v>
      </c>
      <c r="CV37" s="22">
        <f t="shared" si="36"/>
        <v>0</v>
      </c>
      <c r="CW37" s="22">
        <f t="shared" si="36"/>
        <v>0</v>
      </c>
      <c r="CX37" s="22">
        <f t="shared" si="36"/>
        <v>0</v>
      </c>
      <c r="CY37" s="22">
        <f t="shared" si="36"/>
        <v>0</v>
      </c>
      <c r="CZ37" s="22">
        <f t="shared" si="36"/>
        <v>0</v>
      </c>
      <c r="DA37" s="22">
        <f t="shared" si="36"/>
        <v>0</v>
      </c>
      <c r="DB37" s="22">
        <f t="shared" si="36"/>
        <v>0</v>
      </c>
      <c r="DC37" s="22">
        <f t="shared" si="36"/>
        <v>0</v>
      </c>
      <c r="DD37" s="22">
        <f t="shared" si="36"/>
        <v>0</v>
      </c>
      <c r="DE37" s="22">
        <f t="shared" si="36"/>
        <v>0</v>
      </c>
      <c r="DF37" s="22">
        <f t="shared" si="36"/>
        <v>0</v>
      </c>
      <c r="DG37" s="22">
        <f t="shared" si="36"/>
        <v>0</v>
      </c>
      <c r="DH37" s="22">
        <f t="shared" si="36"/>
        <v>0</v>
      </c>
      <c r="DI37" s="22">
        <f t="shared" si="37"/>
        <v>0</v>
      </c>
      <c r="DJ37" s="22">
        <f t="shared" si="37"/>
        <v>0</v>
      </c>
      <c r="DK37" s="22">
        <f t="shared" si="37"/>
        <v>7090884</v>
      </c>
      <c r="DM37" s="26">
        <f t="shared" si="26"/>
        <v>8000000</v>
      </c>
      <c r="DN37" s="26">
        <f t="shared" si="27"/>
        <v>8000000</v>
      </c>
      <c r="DO37" s="26">
        <f t="shared" si="28"/>
        <v>8000000</v>
      </c>
    </row>
    <row r="38" spans="1:120" ht="48.75" customHeight="1" x14ac:dyDescent="0.25">
      <c r="A38" s="27"/>
      <c r="B38" s="190"/>
      <c r="C38" s="18" t="s">
        <v>138</v>
      </c>
      <c r="D38" s="19" t="s">
        <v>139</v>
      </c>
      <c r="E38" s="20">
        <v>410</v>
      </c>
      <c r="F38" s="21" t="s">
        <v>140</v>
      </c>
      <c r="G38" s="22">
        <f t="shared" si="29"/>
        <v>319946741</v>
      </c>
      <c r="H38" s="22"/>
      <c r="I38" s="22">
        <v>200000000</v>
      </c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>
        <f>15907499+69169357+34869885</f>
        <v>119946741</v>
      </c>
      <c r="Y38" s="22"/>
      <c r="Z38" s="22"/>
      <c r="AA38" s="22"/>
      <c r="AB38" s="23">
        <f t="shared" si="1"/>
        <v>1</v>
      </c>
      <c r="AC38" s="22">
        <f t="shared" si="30"/>
        <v>319946741</v>
      </c>
      <c r="AD38" s="22"/>
      <c r="AE38" s="22">
        <f>+'[1]ENERO 2017'!$K$361</f>
        <v>200000000</v>
      </c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>
        <f>+'[6]JULIO 2017'!$Z$1084</f>
        <v>119946741</v>
      </c>
      <c r="AU38" s="22"/>
      <c r="AV38" s="22"/>
      <c r="AW38" s="22"/>
      <c r="AX38" s="23">
        <f t="shared" si="3"/>
        <v>0</v>
      </c>
      <c r="AY38" s="22">
        <f t="shared" si="31"/>
        <v>0</v>
      </c>
      <c r="AZ38" s="22">
        <f t="shared" si="32"/>
        <v>0</v>
      </c>
      <c r="BA38" s="22">
        <f t="shared" si="32"/>
        <v>0</v>
      </c>
      <c r="BB38" s="22">
        <f t="shared" si="32"/>
        <v>0</v>
      </c>
      <c r="BC38" s="22">
        <f t="shared" si="32"/>
        <v>0</v>
      </c>
      <c r="BD38" s="22">
        <f t="shared" si="32"/>
        <v>0</v>
      </c>
      <c r="BE38" s="22">
        <f t="shared" si="32"/>
        <v>0</v>
      </c>
      <c r="BF38" s="22">
        <f t="shared" si="32"/>
        <v>0</v>
      </c>
      <c r="BG38" s="22">
        <f t="shared" si="32"/>
        <v>0</v>
      </c>
      <c r="BH38" s="22">
        <f t="shared" si="32"/>
        <v>0</v>
      </c>
      <c r="BI38" s="22">
        <f t="shared" si="32"/>
        <v>0</v>
      </c>
      <c r="BJ38" s="22">
        <f t="shared" si="32"/>
        <v>0</v>
      </c>
      <c r="BK38" s="22">
        <f t="shared" si="32"/>
        <v>0</v>
      </c>
      <c r="BL38" s="22">
        <f t="shared" si="32"/>
        <v>0</v>
      </c>
      <c r="BM38" s="22">
        <f t="shared" si="32"/>
        <v>0</v>
      </c>
      <c r="BN38" s="22">
        <f t="shared" si="32"/>
        <v>0</v>
      </c>
      <c r="BO38" s="22">
        <f t="shared" si="32"/>
        <v>0</v>
      </c>
      <c r="BP38" s="22">
        <f>+X38-AT38</f>
        <v>0</v>
      </c>
      <c r="BQ38" s="22">
        <f t="shared" si="33"/>
        <v>0</v>
      </c>
      <c r="BR38" s="22">
        <f t="shared" si="33"/>
        <v>0</v>
      </c>
      <c r="BS38" s="22">
        <f t="shared" si="33"/>
        <v>0</v>
      </c>
      <c r="BT38" s="23">
        <f t="shared" si="7"/>
        <v>0.67671552560055614</v>
      </c>
      <c r="BU38" s="22">
        <f t="shared" si="34"/>
        <v>216512927</v>
      </c>
      <c r="BV38" s="22"/>
      <c r="BW38" s="22">
        <f>+'[5]AGOSTO 2017'!$H$1291+'[5]AGOSTO 2017'!$H$1308+'[5]AGOSTO 2017'!$H$1321</f>
        <v>171648249</v>
      </c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>
        <f>+'[5]AGOSTO 2017'!$H$1356+'[5]AGOSTO 2017'!$H$1364</f>
        <v>44864678</v>
      </c>
      <c r="CM38" s="22"/>
      <c r="CN38" s="22"/>
      <c r="CO38" s="22"/>
      <c r="CP38" s="23">
        <f t="shared" si="9"/>
        <v>0.32328447439944386</v>
      </c>
      <c r="CQ38" s="22">
        <f t="shared" si="35"/>
        <v>103433814</v>
      </c>
      <c r="CR38" s="22">
        <f t="shared" si="38"/>
        <v>0</v>
      </c>
      <c r="CS38" s="22">
        <f t="shared" si="36"/>
        <v>28351751</v>
      </c>
      <c r="CT38" s="22">
        <f t="shared" si="36"/>
        <v>0</v>
      </c>
      <c r="CU38" s="22">
        <f t="shared" si="36"/>
        <v>0</v>
      </c>
      <c r="CV38" s="22">
        <f t="shared" si="36"/>
        <v>0</v>
      </c>
      <c r="CW38" s="22">
        <f t="shared" si="36"/>
        <v>0</v>
      </c>
      <c r="CX38" s="22">
        <f t="shared" si="36"/>
        <v>0</v>
      </c>
      <c r="CY38" s="22">
        <f t="shared" si="36"/>
        <v>0</v>
      </c>
      <c r="CZ38" s="22">
        <f t="shared" si="36"/>
        <v>0</v>
      </c>
      <c r="DA38" s="22">
        <f t="shared" si="36"/>
        <v>0</v>
      </c>
      <c r="DB38" s="22">
        <f t="shared" si="36"/>
        <v>0</v>
      </c>
      <c r="DC38" s="22">
        <f t="shared" si="36"/>
        <v>0</v>
      </c>
      <c r="DD38" s="22">
        <f t="shared" si="36"/>
        <v>0</v>
      </c>
      <c r="DE38" s="22">
        <f t="shared" si="36"/>
        <v>0</v>
      </c>
      <c r="DF38" s="22">
        <f t="shared" si="36"/>
        <v>0</v>
      </c>
      <c r="DG38" s="22">
        <f t="shared" si="36"/>
        <v>0</v>
      </c>
      <c r="DH38" s="22">
        <f t="shared" si="36"/>
        <v>75082063</v>
      </c>
      <c r="DI38" s="22">
        <f t="shared" si="37"/>
        <v>0</v>
      </c>
      <c r="DJ38" s="22">
        <f t="shared" si="37"/>
        <v>0</v>
      </c>
      <c r="DK38" s="22">
        <f t="shared" si="37"/>
        <v>0</v>
      </c>
      <c r="DM38" s="57">
        <f t="shared" si="26"/>
        <v>319946741</v>
      </c>
      <c r="DN38" s="26">
        <f t="shared" si="27"/>
        <v>319946741</v>
      </c>
      <c r="DO38" s="26">
        <f t="shared" si="28"/>
        <v>319946741</v>
      </c>
      <c r="DP38" s="35"/>
    </row>
    <row r="39" spans="1:120" ht="35.25" customHeight="1" x14ac:dyDescent="0.25">
      <c r="A39" s="192" t="s">
        <v>103</v>
      </c>
      <c r="B39" s="191" t="s">
        <v>141</v>
      </c>
      <c r="C39" s="18" t="s">
        <v>142</v>
      </c>
      <c r="D39" s="19" t="s">
        <v>143</v>
      </c>
      <c r="E39" s="28">
        <v>410</v>
      </c>
      <c r="F39" s="21" t="s">
        <v>107</v>
      </c>
      <c r="G39" s="22">
        <f t="shared" si="29"/>
        <v>52000000</v>
      </c>
      <c r="H39" s="22"/>
      <c r="I39" s="22"/>
      <c r="J39" s="22">
        <v>40000000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>
        <f>12000000</f>
        <v>12000000</v>
      </c>
      <c r="W39" s="22"/>
      <c r="X39" s="22"/>
      <c r="Y39" s="22"/>
      <c r="Z39" s="22"/>
      <c r="AA39" s="22"/>
      <c r="AB39" s="23">
        <f t="shared" si="1"/>
        <v>0.66377828846153841</v>
      </c>
      <c r="AC39" s="22">
        <f t="shared" si="30"/>
        <v>34516471</v>
      </c>
      <c r="AD39" s="22"/>
      <c r="AE39" s="22"/>
      <c r="AF39" s="22">
        <f>+'[5]AGOSTO 2017'!$L$1379</f>
        <v>34516471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3">
        <f t="shared" si="3"/>
        <v>0.33622171153846159</v>
      </c>
      <c r="AY39" s="22">
        <f t="shared" si="31"/>
        <v>17483529</v>
      </c>
      <c r="AZ39" s="22">
        <f t="shared" si="32"/>
        <v>0</v>
      </c>
      <c r="BA39" s="22">
        <f t="shared" si="32"/>
        <v>0</v>
      </c>
      <c r="BB39" s="22">
        <f t="shared" si="32"/>
        <v>5483529</v>
      </c>
      <c r="BC39" s="22">
        <f t="shared" si="32"/>
        <v>0</v>
      </c>
      <c r="BD39" s="22">
        <f t="shared" si="32"/>
        <v>0</v>
      </c>
      <c r="BE39" s="22">
        <f t="shared" si="32"/>
        <v>0</v>
      </c>
      <c r="BF39" s="22">
        <f t="shared" si="32"/>
        <v>0</v>
      </c>
      <c r="BG39" s="22">
        <f t="shared" si="32"/>
        <v>0</v>
      </c>
      <c r="BH39" s="22">
        <f t="shared" si="32"/>
        <v>0</v>
      </c>
      <c r="BI39" s="22">
        <f t="shared" si="32"/>
        <v>0</v>
      </c>
      <c r="BJ39" s="22">
        <f t="shared" si="32"/>
        <v>0</v>
      </c>
      <c r="BK39" s="22">
        <f t="shared" si="32"/>
        <v>0</v>
      </c>
      <c r="BL39" s="22">
        <f t="shared" si="32"/>
        <v>0</v>
      </c>
      <c r="BM39" s="22">
        <f t="shared" si="32"/>
        <v>0</v>
      </c>
      <c r="BN39" s="22">
        <f t="shared" si="32"/>
        <v>12000000</v>
      </c>
      <c r="BO39" s="22">
        <f t="shared" si="32"/>
        <v>0</v>
      </c>
      <c r="BP39" s="22">
        <f>+X39-AT39</f>
        <v>0</v>
      </c>
      <c r="BQ39" s="22">
        <f t="shared" si="33"/>
        <v>0</v>
      </c>
      <c r="BR39" s="22">
        <f t="shared" si="33"/>
        <v>0</v>
      </c>
      <c r="BS39" s="22">
        <f t="shared" si="33"/>
        <v>0</v>
      </c>
      <c r="BT39" s="23">
        <f t="shared" si="7"/>
        <v>0.66377828846153841</v>
      </c>
      <c r="BU39" s="22">
        <f t="shared" si="34"/>
        <v>34516471</v>
      </c>
      <c r="BV39" s="22"/>
      <c r="BW39" s="22"/>
      <c r="BX39" s="22">
        <f>+'[5]AGOSTO 2017'!$H$1377</f>
        <v>34516471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3">
        <f t="shared" si="9"/>
        <v>0.33622171153846159</v>
      </c>
      <c r="CQ39" s="22">
        <f t="shared" si="35"/>
        <v>17483529</v>
      </c>
      <c r="CR39" s="22">
        <f t="shared" si="38"/>
        <v>0</v>
      </c>
      <c r="CS39" s="22">
        <f t="shared" si="36"/>
        <v>0</v>
      </c>
      <c r="CT39" s="22">
        <f t="shared" si="36"/>
        <v>5483529</v>
      </c>
      <c r="CU39" s="22">
        <f t="shared" si="36"/>
        <v>0</v>
      </c>
      <c r="CV39" s="22">
        <f t="shared" si="36"/>
        <v>0</v>
      </c>
      <c r="CW39" s="22">
        <f t="shared" si="36"/>
        <v>0</v>
      </c>
      <c r="CX39" s="22">
        <f t="shared" si="36"/>
        <v>0</v>
      </c>
      <c r="CY39" s="22">
        <f t="shared" si="36"/>
        <v>0</v>
      </c>
      <c r="CZ39" s="22">
        <f t="shared" si="36"/>
        <v>0</v>
      </c>
      <c r="DA39" s="22">
        <f t="shared" si="36"/>
        <v>0</v>
      </c>
      <c r="DB39" s="22">
        <f t="shared" si="36"/>
        <v>0</v>
      </c>
      <c r="DC39" s="22">
        <f t="shared" si="36"/>
        <v>0</v>
      </c>
      <c r="DD39" s="22">
        <f t="shared" si="36"/>
        <v>0</v>
      </c>
      <c r="DE39" s="22">
        <f t="shared" si="36"/>
        <v>0</v>
      </c>
      <c r="DF39" s="22">
        <f t="shared" si="36"/>
        <v>12000000</v>
      </c>
      <c r="DG39" s="22">
        <f t="shared" si="36"/>
        <v>0</v>
      </c>
      <c r="DH39" s="22">
        <f t="shared" si="36"/>
        <v>0</v>
      </c>
      <c r="DI39" s="22">
        <f t="shared" si="37"/>
        <v>0</v>
      </c>
      <c r="DJ39" s="22">
        <f t="shared" si="37"/>
        <v>0</v>
      </c>
      <c r="DK39" s="22">
        <f t="shared" si="37"/>
        <v>0</v>
      </c>
      <c r="DM39" s="26">
        <f t="shared" si="26"/>
        <v>52000000</v>
      </c>
      <c r="DN39" s="26">
        <f t="shared" si="27"/>
        <v>52000000</v>
      </c>
      <c r="DO39" s="26">
        <f t="shared" si="28"/>
        <v>52000000</v>
      </c>
    </row>
    <row r="40" spans="1:120" ht="31.5" customHeight="1" x14ac:dyDescent="0.25">
      <c r="A40" s="192"/>
      <c r="B40" s="189"/>
      <c r="C40" s="18" t="s">
        <v>144</v>
      </c>
      <c r="D40" s="19" t="s">
        <v>145</v>
      </c>
      <c r="E40" s="20">
        <v>410</v>
      </c>
      <c r="F40" s="21" t="s">
        <v>146</v>
      </c>
      <c r="G40" s="22">
        <f t="shared" si="29"/>
        <v>89000000</v>
      </c>
      <c r="H40" s="22"/>
      <c r="I40" s="22"/>
      <c r="J40" s="22">
        <v>70000000</v>
      </c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>
        <f>15000000</f>
        <v>15000000</v>
      </c>
      <c r="W40" s="22"/>
      <c r="X40" s="22"/>
      <c r="Y40" s="22"/>
      <c r="Z40" s="22"/>
      <c r="AA40" s="22">
        <v>4000000</v>
      </c>
      <c r="AB40" s="23">
        <f t="shared" si="1"/>
        <v>0.43536620224719103</v>
      </c>
      <c r="AC40" s="22">
        <f t="shared" si="30"/>
        <v>38747592</v>
      </c>
      <c r="AD40" s="22"/>
      <c r="AE40" s="22"/>
      <c r="AF40" s="22">
        <f>+'[5]AGOSTO 2017'!$L$1415</f>
        <v>37947592</v>
      </c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>
        <f>+'[5]AGOSTO 2017'!$AC$1415</f>
        <v>800000</v>
      </c>
      <c r="AX40" s="23">
        <f t="shared" si="3"/>
        <v>0.56463379775280897</v>
      </c>
      <c r="AY40" s="22">
        <f t="shared" si="31"/>
        <v>50252408</v>
      </c>
      <c r="AZ40" s="22">
        <f t="shared" si="32"/>
        <v>0</v>
      </c>
      <c r="BA40" s="22">
        <f t="shared" si="32"/>
        <v>0</v>
      </c>
      <c r="BB40" s="22">
        <f t="shared" si="32"/>
        <v>32052408</v>
      </c>
      <c r="BC40" s="22">
        <f t="shared" si="32"/>
        <v>0</v>
      </c>
      <c r="BD40" s="22">
        <f t="shared" si="32"/>
        <v>0</v>
      </c>
      <c r="BE40" s="22">
        <f t="shared" si="32"/>
        <v>0</v>
      </c>
      <c r="BF40" s="22">
        <f t="shared" si="32"/>
        <v>0</v>
      </c>
      <c r="BG40" s="22">
        <f t="shared" si="32"/>
        <v>0</v>
      </c>
      <c r="BH40" s="22">
        <f t="shared" si="32"/>
        <v>0</v>
      </c>
      <c r="BI40" s="22">
        <f t="shared" si="32"/>
        <v>0</v>
      </c>
      <c r="BJ40" s="22">
        <f t="shared" si="32"/>
        <v>0</v>
      </c>
      <c r="BK40" s="22">
        <f t="shared" si="32"/>
        <v>0</v>
      </c>
      <c r="BL40" s="22">
        <f t="shared" si="32"/>
        <v>0</v>
      </c>
      <c r="BM40" s="22">
        <f t="shared" si="32"/>
        <v>0</v>
      </c>
      <c r="BN40" s="22">
        <f t="shared" si="32"/>
        <v>15000000</v>
      </c>
      <c r="BO40" s="22">
        <f t="shared" ref="BO40:BO56" si="39">+W40-AS40</f>
        <v>0</v>
      </c>
      <c r="BP40" s="22">
        <f t="shared" si="33"/>
        <v>0</v>
      </c>
      <c r="BQ40" s="22">
        <f t="shared" si="33"/>
        <v>0</v>
      </c>
      <c r="BR40" s="22">
        <f t="shared" si="33"/>
        <v>0</v>
      </c>
      <c r="BS40" s="22">
        <f t="shared" si="33"/>
        <v>3200000</v>
      </c>
      <c r="BT40" s="23">
        <f t="shared" si="7"/>
        <v>0.42637743820224722</v>
      </c>
      <c r="BU40" s="22">
        <f t="shared" si="34"/>
        <v>37947592</v>
      </c>
      <c r="BV40" s="22"/>
      <c r="BW40" s="22"/>
      <c r="BX40" s="22">
        <f>+'[5]AGOSTO 2017'!$H$1413</f>
        <v>37947592</v>
      </c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3">
        <f t="shared" si="9"/>
        <v>0.57362256179775284</v>
      </c>
      <c r="CQ40" s="22">
        <f t="shared" si="35"/>
        <v>51052408</v>
      </c>
      <c r="CR40" s="22">
        <f t="shared" si="38"/>
        <v>0</v>
      </c>
      <c r="CS40" s="22">
        <f t="shared" si="36"/>
        <v>0</v>
      </c>
      <c r="CT40" s="22">
        <f t="shared" si="36"/>
        <v>32052408</v>
      </c>
      <c r="CU40" s="22">
        <f t="shared" si="36"/>
        <v>0</v>
      </c>
      <c r="CV40" s="22">
        <f t="shared" si="36"/>
        <v>0</v>
      </c>
      <c r="CW40" s="22">
        <f t="shared" si="36"/>
        <v>0</v>
      </c>
      <c r="CX40" s="22">
        <f t="shared" si="36"/>
        <v>0</v>
      </c>
      <c r="CY40" s="22">
        <f t="shared" si="36"/>
        <v>0</v>
      </c>
      <c r="CZ40" s="22">
        <f t="shared" si="36"/>
        <v>0</v>
      </c>
      <c r="DA40" s="22">
        <f t="shared" si="36"/>
        <v>0</v>
      </c>
      <c r="DB40" s="22">
        <f t="shared" si="36"/>
        <v>0</v>
      </c>
      <c r="DC40" s="22">
        <f t="shared" si="36"/>
        <v>0</v>
      </c>
      <c r="DD40" s="22">
        <f t="shared" si="36"/>
        <v>0</v>
      </c>
      <c r="DE40" s="22">
        <f t="shared" si="36"/>
        <v>0</v>
      </c>
      <c r="DF40" s="22">
        <f t="shared" si="36"/>
        <v>15000000</v>
      </c>
      <c r="DG40" s="22">
        <f t="shared" si="36"/>
        <v>0</v>
      </c>
      <c r="DH40" s="22">
        <f t="shared" ref="DH40:DH56" si="40">X40-CL40</f>
        <v>0</v>
      </c>
      <c r="DI40" s="22">
        <f t="shared" si="37"/>
        <v>0</v>
      </c>
      <c r="DJ40" s="22">
        <f t="shared" si="37"/>
        <v>0</v>
      </c>
      <c r="DK40" s="22">
        <f t="shared" si="37"/>
        <v>4000000</v>
      </c>
      <c r="DM40" s="26">
        <f t="shared" si="26"/>
        <v>89000000</v>
      </c>
      <c r="DN40" s="26">
        <f t="shared" si="27"/>
        <v>89000000</v>
      </c>
      <c r="DO40" s="26">
        <f t="shared" si="28"/>
        <v>89000000</v>
      </c>
    </row>
    <row r="41" spans="1:120" ht="23.25" customHeight="1" x14ac:dyDescent="0.25">
      <c r="A41" s="192"/>
      <c r="B41" s="189"/>
      <c r="C41" s="18" t="s">
        <v>147</v>
      </c>
      <c r="D41" s="19" t="s">
        <v>148</v>
      </c>
      <c r="E41" s="20">
        <v>410</v>
      </c>
      <c r="F41" s="21" t="s">
        <v>107</v>
      </c>
      <c r="G41" s="22">
        <f t="shared" si="29"/>
        <v>80000000</v>
      </c>
      <c r="H41" s="22"/>
      <c r="I41" s="22"/>
      <c r="J41" s="22">
        <v>80000000</v>
      </c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3">
        <f t="shared" si="1"/>
        <v>1</v>
      </c>
      <c r="AC41" s="22">
        <f t="shared" si="30"/>
        <v>80000000</v>
      </c>
      <c r="AD41" s="22"/>
      <c r="AE41" s="22"/>
      <c r="AF41" s="22">
        <f>+'[1]ENERO 2017'!$L$385</f>
        <v>80000000</v>
      </c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3">
        <f t="shared" si="3"/>
        <v>0</v>
      </c>
      <c r="AY41" s="22">
        <f t="shared" si="31"/>
        <v>0</v>
      </c>
      <c r="AZ41" s="22">
        <f t="shared" ref="AZ41:BN56" si="41">+H41-AD41</f>
        <v>0</v>
      </c>
      <c r="BA41" s="22">
        <f t="shared" si="41"/>
        <v>0</v>
      </c>
      <c r="BB41" s="22">
        <f t="shared" si="41"/>
        <v>0</v>
      </c>
      <c r="BC41" s="22">
        <f t="shared" si="41"/>
        <v>0</v>
      </c>
      <c r="BD41" s="22">
        <f t="shared" si="41"/>
        <v>0</v>
      </c>
      <c r="BE41" s="22">
        <f t="shared" si="41"/>
        <v>0</v>
      </c>
      <c r="BF41" s="22">
        <f t="shared" si="41"/>
        <v>0</v>
      </c>
      <c r="BG41" s="22">
        <f t="shared" si="41"/>
        <v>0</v>
      </c>
      <c r="BH41" s="22">
        <f t="shared" si="41"/>
        <v>0</v>
      </c>
      <c r="BI41" s="22">
        <f t="shared" si="41"/>
        <v>0</v>
      </c>
      <c r="BJ41" s="22">
        <f t="shared" si="41"/>
        <v>0</v>
      </c>
      <c r="BK41" s="22">
        <f t="shared" si="41"/>
        <v>0</v>
      </c>
      <c r="BL41" s="22">
        <f t="shared" si="41"/>
        <v>0</v>
      </c>
      <c r="BM41" s="22">
        <f t="shared" si="41"/>
        <v>0</v>
      </c>
      <c r="BN41" s="22">
        <f t="shared" si="41"/>
        <v>0</v>
      </c>
      <c r="BO41" s="22">
        <f t="shared" si="39"/>
        <v>0</v>
      </c>
      <c r="BP41" s="22">
        <f t="shared" si="33"/>
        <v>0</v>
      </c>
      <c r="BQ41" s="22">
        <f t="shared" si="33"/>
        <v>0</v>
      </c>
      <c r="BR41" s="22">
        <f t="shared" si="33"/>
        <v>0</v>
      </c>
      <c r="BS41" s="22">
        <f t="shared" si="33"/>
        <v>0</v>
      </c>
      <c r="BT41" s="23">
        <f t="shared" si="7"/>
        <v>0.76879322500000002</v>
      </c>
      <c r="BU41" s="22">
        <f t="shared" si="34"/>
        <v>61503458</v>
      </c>
      <c r="BV41" s="22"/>
      <c r="BW41" s="22"/>
      <c r="BX41" s="22">
        <f>+'[3]JUNIO 2017'!$H$966</f>
        <v>61503458</v>
      </c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3">
        <f t="shared" si="9"/>
        <v>0.23120677499999998</v>
      </c>
      <c r="CQ41" s="22">
        <f t="shared" si="35"/>
        <v>18496542</v>
      </c>
      <c r="CR41" s="22">
        <f t="shared" si="38"/>
        <v>0</v>
      </c>
      <c r="CS41" s="22">
        <f t="shared" si="38"/>
        <v>0</v>
      </c>
      <c r="CT41" s="22">
        <f t="shared" si="38"/>
        <v>18496542</v>
      </c>
      <c r="CU41" s="22">
        <f t="shared" si="38"/>
        <v>0</v>
      </c>
      <c r="CV41" s="22">
        <f t="shared" si="38"/>
        <v>0</v>
      </c>
      <c r="CW41" s="22">
        <f t="shared" si="38"/>
        <v>0</v>
      </c>
      <c r="CX41" s="22">
        <f t="shared" si="38"/>
        <v>0</v>
      </c>
      <c r="CY41" s="22">
        <f t="shared" si="38"/>
        <v>0</v>
      </c>
      <c r="CZ41" s="22">
        <f t="shared" si="38"/>
        <v>0</v>
      </c>
      <c r="DA41" s="22">
        <f t="shared" si="38"/>
        <v>0</v>
      </c>
      <c r="DB41" s="22">
        <f t="shared" si="38"/>
        <v>0</v>
      </c>
      <c r="DC41" s="22">
        <f t="shared" si="38"/>
        <v>0</v>
      </c>
      <c r="DD41" s="22">
        <f t="shared" si="38"/>
        <v>0</v>
      </c>
      <c r="DE41" s="22">
        <f t="shared" si="38"/>
        <v>0</v>
      </c>
      <c r="DF41" s="22">
        <f t="shared" si="38"/>
        <v>0</v>
      </c>
      <c r="DG41" s="22">
        <f t="shared" si="38"/>
        <v>0</v>
      </c>
      <c r="DH41" s="22">
        <f t="shared" si="40"/>
        <v>0</v>
      </c>
      <c r="DI41" s="22">
        <f t="shared" si="37"/>
        <v>0</v>
      </c>
      <c r="DJ41" s="22">
        <f t="shared" si="37"/>
        <v>0</v>
      </c>
      <c r="DK41" s="22">
        <f t="shared" si="37"/>
        <v>0</v>
      </c>
      <c r="DM41" s="26">
        <f t="shared" si="26"/>
        <v>80000000</v>
      </c>
      <c r="DN41" s="26">
        <f t="shared" si="27"/>
        <v>80000000</v>
      </c>
      <c r="DO41" s="26">
        <f t="shared" si="28"/>
        <v>80000000</v>
      </c>
    </row>
    <row r="42" spans="1:120" ht="30" x14ac:dyDescent="0.25">
      <c r="A42" s="192"/>
      <c r="B42" s="56"/>
      <c r="C42" s="18" t="s">
        <v>149</v>
      </c>
      <c r="D42" s="19" t="s">
        <v>150</v>
      </c>
      <c r="E42" s="20">
        <v>410</v>
      </c>
      <c r="F42" s="21" t="s">
        <v>151</v>
      </c>
      <c r="G42" s="22">
        <f t="shared" si="29"/>
        <v>3000000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>
        <v>3000000</v>
      </c>
      <c r="AB42" s="23">
        <f t="shared" si="1"/>
        <v>0</v>
      </c>
      <c r="AC42" s="22">
        <f t="shared" si="30"/>
        <v>0</v>
      </c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3">
        <f t="shared" si="3"/>
        <v>1</v>
      </c>
      <c r="AY42" s="22">
        <f t="shared" si="31"/>
        <v>3000000</v>
      </c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>
        <f t="shared" si="33"/>
        <v>3000000</v>
      </c>
      <c r="BT42" s="23">
        <f t="shared" si="7"/>
        <v>0</v>
      </c>
      <c r="BU42" s="22">
        <f t="shared" si="34"/>
        <v>0</v>
      </c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3">
        <f t="shared" si="9"/>
        <v>1</v>
      </c>
      <c r="CQ42" s="22">
        <f t="shared" si="35"/>
        <v>3000000</v>
      </c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>
        <f t="shared" si="37"/>
        <v>3000000</v>
      </c>
      <c r="DM42" s="26">
        <f t="shared" si="26"/>
        <v>3000000</v>
      </c>
      <c r="DN42" s="26">
        <f t="shared" si="27"/>
        <v>3000000</v>
      </c>
      <c r="DO42" s="26">
        <f t="shared" si="28"/>
        <v>3000000</v>
      </c>
    </row>
    <row r="43" spans="1:120" ht="33.75" customHeight="1" x14ac:dyDescent="0.25">
      <c r="A43" s="192"/>
      <c r="B43" s="191" t="s">
        <v>152</v>
      </c>
      <c r="C43" s="18" t="s">
        <v>153</v>
      </c>
      <c r="D43" s="19" t="s">
        <v>154</v>
      </c>
      <c r="E43" s="20">
        <v>410</v>
      </c>
      <c r="F43" s="21" t="s">
        <v>107</v>
      </c>
      <c r="G43" s="22">
        <f t="shared" si="29"/>
        <v>80000000</v>
      </c>
      <c r="H43" s="22"/>
      <c r="I43" s="22"/>
      <c r="J43" s="22">
        <v>80000000</v>
      </c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3">
        <f t="shared" si="1"/>
        <v>0.82938365000000003</v>
      </c>
      <c r="AC43" s="22">
        <f t="shared" si="30"/>
        <v>66350692</v>
      </c>
      <c r="AD43" s="22"/>
      <c r="AE43" s="22"/>
      <c r="AF43" s="22">
        <f>+'[5]AGOSTO 2017'!$L$1504</f>
        <v>66350692</v>
      </c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3">
        <f t="shared" si="3"/>
        <v>0.17061634999999997</v>
      </c>
      <c r="AY43" s="22">
        <f t="shared" si="31"/>
        <v>13649308</v>
      </c>
      <c r="AZ43" s="22">
        <f t="shared" si="41"/>
        <v>0</v>
      </c>
      <c r="BA43" s="22">
        <f t="shared" si="41"/>
        <v>0</v>
      </c>
      <c r="BB43" s="22">
        <f t="shared" si="41"/>
        <v>13649308</v>
      </c>
      <c r="BC43" s="22">
        <f t="shared" si="41"/>
        <v>0</v>
      </c>
      <c r="BD43" s="22">
        <f t="shared" si="41"/>
        <v>0</v>
      </c>
      <c r="BE43" s="22">
        <f t="shared" si="41"/>
        <v>0</v>
      </c>
      <c r="BF43" s="22">
        <f t="shared" si="41"/>
        <v>0</v>
      </c>
      <c r="BG43" s="22">
        <f t="shared" si="41"/>
        <v>0</v>
      </c>
      <c r="BH43" s="22">
        <f t="shared" si="41"/>
        <v>0</v>
      </c>
      <c r="BI43" s="22">
        <f t="shared" si="41"/>
        <v>0</v>
      </c>
      <c r="BJ43" s="22">
        <f t="shared" si="41"/>
        <v>0</v>
      </c>
      <c r="BK43" s="22">
        <f t="shared" si="41"/>
        <v>0</v>
      </c>
      <c r="BL43" s="22">
        <f t="shared" si="41"/>
        <v>0</v>
      </c>
      <c r="BM43" s="22">
        <f t="shared" si="41"/>
        <v>0</v>
      </c>
      <c r="BN43" s="22">
        <f t="shared" si="41"/>
        <v>0</v>
      </c>
      <c r="BO43" s="22">
        <f t="shared" si="39"/>
        <v>0</v>
      </c>
      <c r="BP43" s="22">
        <f t="shared" si="33"/>
        <v>0</v>
      </c>
      <c r="BQ43" s="22">
        <f t="shared" si="33"/>
        <v>0</v>
      </c>
      <c r="BR43" s="22">
        <f t="shared" si="33"/>
        <v>0</v>
      </c>
      <c r="BS43" s="22">
        <f t="shared" si="33"/>
        <v>0</v>
      </c>
      <c r="BT43" s="23">
        <f t="shared" si="7"/>
        <v>0.56646039999999998</v>
      </c>
      <c r="BU43" s="22">
        <f t="shared" si="34"/>
        <v>45316832</v>
      </c>
      <c r="BV43" s="22"/>
      <c r="BW43" s="22"/>
      <c r="BX43" s="22">
        <f>+'[5]AGOSTO 2017'!$H$1502</f>
        <v>45316832</v>
      </c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3">
        <f t="shared" si="9"/>
        <v>0.43353960000000002</v>
      </c>
      <c r="CQ43" s="22">
        <f t="shared" si="35"/>
        <v>34683168</v>
      </c>
      <c r="CR43" s="22">
        <f t="shared" si="38"/>
        <v>0</v>
      </c>
      <c r="CS43" s="22">
        <f t="shared" si="38"/>
        <v>0</v>
      </c>
      <c r="CT43" s="22">
        <f t="shared" si="38"/>
        <v>34683168</v>
      </c>
      <c r="CU43" s="22">
        <f t="shared" si="38"/>
        <v>0</v>
      </c>
      <c r="CV43" s="22">
        <f t="shared" si="38"/>
        <v>0</v>
      </c>
      <c r="CW43" s="22">
        <f t="shared" si="38"/>
        <v>0</v>
      </c>
      <c r="CX43" s="22">
        <f t="shared" si="38"/>
        <v>0</v>
      </c>
      <c r="CY43" s="22">
        <f t="shared" si="38"/>
        <v>0</v>
      </c>
      <c r="CZ43" s="22">
        <f t="shared" si="38"/>
        <v>0</v>
      </c>
      <c r="DA43" s="22">
        <f t="shared" si="38"/>
        <v>0</v>
      </c>
      <c r="DB43" s="22">
        <f t="shared" si="38"/>
        <v>0</v>
      </c>
      <c r="DC43" s="22">
        <f t="shared" si="38"/>
        <v>0</v>
      </c>
      <c r="DD43" s="22">
        <f t="shared" si="38"/>
        <v>0</v>
      </c>
      <c r="DE43" s="22">
        <f t="shared" si="38"/>
        <v>0</v>
      </c>
      <c r="DF43" s="22">
        <f t="shared" si="38"/>
        <v>0</v>
      </c>
      <c r="DG43" s="22">
        <f t="shared" si="38"/>
        <v>0</v>
      </c>
      <c r="DH43" s="22">
        <f t="shared" si="40"/>
        <v>0</v>
      </c>
      <c r="DI43" s="22">
        <f t="shared" si="37"/>
        <v>0</v>
      </c>
      <c r="DJ43" s="22">
        <f t="shared" si="37"/>
        <v>0</v>
      </c>
      <c r="DK43" s="22">
        <f t="shared" si="37"/>
        <v>0</v>
      </c>
      <c r="DM43" s="26">
        <f t="shared" si="26"/>
        <v>80000000</v>
      </c>
      <c r="DN43" s="26">
        <f t="shared" si="27"/>
        <v>80000000</v>
      </c>
      <c r="DO43" s="26">
        <f t="shared" si="28"/>
        <v>80000000</v>
      </c>
    </row>
    <row r="44" spans="1:120" ht="42" customHeight="1" x14ac:dyDescent="0.25">
      <c r="A44" s="192"/>
      <c r="B44" s="189"/>
      <c r="C44" s="18" t="s">
        <v>155</v>
      </c>
      <c r="D44" s="31" t="s">
        <v>156</v>
      </c>
      <c r="E44" s="20">
        <v>410</v>
      </c>
      <c r="F44" s="21" t="s">
        <v>157</v>
      </c>
      <c r="G44" s="22">
        <f t="shared" si="29"/>
        <v>35000000</v>
      </c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>
        <v>35000000</v>
      </c>
      <c r="AB44" s="23">
        <f t="shared" si="1"/>
        <v>0.66704234285714281</v>
      </c>
      <c r="AC44" s="22">
        <f t="shared" si="30"/>
        <v>23346482</v>
      </c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>
        <f>+'[5]AGOSTO 2017'!$AC$1534</f>
        <v>23346482</v>
      </c>
      <c r="AX44" s="23">
        <f t="shared" si="3"/>
        <v>0.33295765714285719</v>
      </c>
      <c r="AY44" s="22">
        <f t="shared" si="31"/>
        <v>11653518</v>
      </c>
      <c r="AZ44" s="22">
        <f t="shared" si="41"/>
        <v>0</v>
      </c>
      <c r="BA44" s="22">
        <f t="shared" si="41"/>
        <v>0</v>
      </c>
      <c r="BB44" s="22">
        <f t="shared" si="41"/>
        <v>0</v>
      </c>
      <c r="BC44" s="22">
        <f t="shared" si="41"/>
        <v>0</v>
      </c>
      <c r="BD44" s="22">
        <f t="shared" si="41"/>
        <v>0</v>
      </c>
      <c r="BE44" s="22">
        <f t="shared" si="41"/>
        <v>0</v>
      </c>
      <c r="BF44" s="22">
        <f t="shared" si="41"/>
        <v>0</v>
      </c>
      <c r="BG44" s="22">
        <f t="shared" si="41"/>
        <v>0</v>
      </c>
      <c r="BH44" s="22">
        <f t="shared" si="41"/>
        <v>0</v>
      </c>
      <c r="BI44" s="22">
        <f t="shared" si="41"/>
        <v>0</v>
      </c>
      <c r="BJ44" s="22">
        <f t="shared" si="41"/>
        <v>0</v>
      </c>
      <c r="BK44" s="22">
        <f t="shared" si="41"/>
        <v>0</v>
      </c>
      <c r="BL44" s="22">
        <f t="shared" si="41"/>
        <v>0</v>
      </c>
      <c r="BM44" s="22">
        <f t="shared" si="41"/>
        <v>0</v>
      </c>
      <c r="BN44" s="22">
        <f t="shared" si="41"/>
        <v>0</v>
      </c>
      <c r="BO44" s="22">
        <f t="shared" si="39"/>
        <v>0</v>
      </c>
      <c r="BP44" s="22">
        <f t="shared" si="33"/>
        <v>0</v>
      </c>
      <c r="BQ44" s="22">
        <f t="shared" si="33"/>
        <v>0</v>
      </c>
      <c r="BR44" s="22">
        <f t="shared" si="33"/>
        <v>0</v>
      </c>
      <c r="BS44" s="22">
        <f t="shared" si="33"/>
        <v>11653518</v>
      </c>
      <c r="BT44" s="23">
        <f t="shared" si="7"/>
        <v>0.66704234285714281</v>
      </c>
      <c r="BU44" s="22">
        <f t="shared" si="34"/>
        <v>23346482</v>
      </c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>
        <f>+'[5]AGOSTO 2017'!$H$1532</f>
        <v>23346482</v>
      </c>
      <c r="CP44" s="23">
        <f t="shared" si="9"/>
        <v>0.33295765714285719</v>
      </c>
      <c r="CQ44" s="22">
        <f t="shared" si="35"/>
        <v>11653518</v>
      </c>
      <c r="CR44" s="22">
        <f t="shared" si="38"/>
        <v>0</v>
      </c>
      <c r="CS44" s="22">
        <f t="shared" si="38"/>
        <v>0</v>
      </c>
      <c r="CT44" s="22">
        <f t="shared" si="38"/>
        <v>0</v>
      </c>
      <c r="CU44" s="22">
        <f t="shared" si="38"/>
        <v>0</v>
      </c>
      <c r="CV44" s="22">
        <f t="shared" si="38"/>
        <v>0</v>
      </c>
      <c r="CW44" s="22">
        <f t="shared" si="38"/>
        <v>0</v>
      </c>
      <c r="CX44" s="22">
        <f t="shared" si="38"/>
        <v>0</v>
      </c>
      <c r="CY44" s="22">
        <f t="shared" si="38"/>
        <v>0</v>
      </c>
      <c r="CZ44" s="22">
        <f t="shared" si="38"/>
        <v>0</v>
      </c>
      <c r="DA44" s="22">
        <f t="shared" si="38"/>
        <v>0</v>
      </c>
      <c r="DB44" s="22">
        <f t="shared" si="38"/>
        <v>0</v>
      </c>
      <c r="DC44" s="22">
        <f t="shared" si="38"/>
        <v>0</v>
      </c>
      <c r="DD44" s="22">
        <f t="shared" si="38"/>
        <v>0</v>
      </c>
      <c r="DE44" s="22">
        <f t="shared" si="38"/>
        <v>0</v>
      </c>
      <c r="DF44" s="22">
        <f t="shared" si="38"/>
        <v>0</v>
      </c>
      <c r="DG44" s="22">
        <f t="shared" si="38"/>
        <v>0</v>
      </c>
      <c r="DH44" s="22">
        <f t="shared" si="40"/>
        <v>0</v>
      </c>
      <c r="DI44" s="22">
        <f t="shared" si="37"/>
        <v>0</v>
      </c>
      <c r="DJ44" s="22">
        <f t="shared" si="37"/>
        <v>0</v>
      </c>
      <c r="DK44" s="22">
        <f t="shared" si="37"/>
        <v>11653518</v>
      </c>
      <c r="DM44" s="26">
        <f t="shared" si="26"/>
        <v>35000000</v>
      </c>
      <c r="DN44" s="26">
        <f t="shared" si="27"/>
        <v>35000000</v>
      </c>
      <c r="DO44" s="26">
        <f t="shared" si="28"/>
        <v>35000000</v>
      </c>
    </row>
    <row r="45" spans="1:120" ht="25.5" customHeight="1" x14ac:dyDescent="0.25">
      <c r="A45" s="192"/>
      <c r="B45" s="191" t="s">
        <v>158</v>
      </c>
      <c r="C45" s="18" t="s">
        <v>159</v>
      </c>
      <c r="D45" s="19" t="s">
        <v>160</v>
      </c>
      <c r="E45" s="20">
        <v>410</v>
      </c>
      <c r="F45" s="21" t="s">
        <v>107</v>
      </c>
      <c r="G45" s="22">
        <f t="shared" si="29"/>
        <v>3157557814</v>
      </c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>
        <f>2500000000+657557814</f>
        <v>3157557814</v>
      </c>
      <c r="T45" s="22"/>
      <c r="U45" s="22"/>
      <c r="V45" s="22"/>
      <c r="W45" s="22"/>
      <c r="X45" s="22"/>
      <c r="Y45" s="22"/>
      <c r="Z45" s="22"/>
      <c r="AA45" s="22"/>
      <c r="AB45" s="23">
        <f t="shared" si="1"/>
        <v>0.68741522969941726</v>
      </c>
      <c r="AC45" s="22">
        <f t="shared" si="30"/>
        <v>2170553330</v>
      </c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>
        <f>+'[6]JULIO 2017'!$U$1278</f>
        <v>2170553330</v>
      </c>
      <c r="AP45" s="22"/>
      <c r="AQ45" s="22"/>
      <c r="AR45" s="22"/>
      <c r="AS45" s="22"/>
      <c r="AT45" s="22"/>
      <c r="AU45" s="22"/>
      <c r="AV45" s="22"/>
      <c r="AW45" s="22"/>
      <c r="AX45" s="23">
        <f t="shared" si="3"/>
        <v>0.31258477030058274</v>
      </c>
      <c r="AY45" s="22">
        <f t="shared" si="31"/>
        <v>987004484</v>
      </c>
      <c r="AZ45" s="22">
        <f t="shared" si="41"/>
        <v>0</v>
      </c>
      <c r="BA45" s="22">
        <f t="shared" si="41"/>
        <v>0</v>
      </c>
      <c r="BB45" s="22">
        <f t="shared" si="41"/>
        <v>0</v>
      </c>
      <c r="BC45" s="22">
        <f t="shared" si="41"/>
        <v>0</v>
      </c>
      <c r="BD45" s="22">
        <f t="shared" si="41"/>
        <v>0</v>
      </c>
      <c r="BE45" s="22">
        <f t="shared" si="41"/>
        <v>0</v>
      </c>
      <c r="BF45" s="22">
        <f t="shared" si="41"/>
        <v>0</v>
      </c>
      <c r="BG45" s="22">
        <f t="shared" si="41"/>
        <v>0</v>
      </c>
      <c r="BH45" s="22">
        <f t="shared" si="41"/>
        <v>0</v>
      </c>
      <c r="BI45" s="22">
        <f t="shared" si="41"/>
        <v>0</v>
      </c>
      <c r="BJ45" s="22">
        <f t="shared" si="41"/>
        <v>0</v>
      </c>
      <c r="BK45" s="22">
        <f t="shared" si="41"/>
        <v>987004484</v>
      </c>
      <c r="BL45" s="22">
        <f t="shared" si="41"/>
        <v>0</v>
      </c>
      <c r="BM45" s="22">
        <f t="shared" si="41"/>
        <v>0</v>
      </c>
      <c r="BN45" s="22">
        <f t="shared" si="41"/>
        <v>0</v>
      </c>
      <c r="BO45" s="22">
        <f t="shared" si="39"/>
        <v>0</v>
      </c>
      <c r="BP45" s="22">
        <f t="shared" si="33"/>
        <v>0</v>
      </c>
      <c r="BQ45" s="22">
        <f t="shared" si="33"/>
        <v>0</v>
      </c>
      <c r="BR45" s="22">
        <f t="shared" si="33"/>
        <v>0</v>
      </c>
      <c r="BS45" s="22">
        <f t="shared" si="33"/>
        <v>0</v>
      </c>
      <c r="BT45" s="23">
        <f t="shared" si="7"/>
        <v>0.60288933477624684</v>
      </c>
      <c r="BU45" s="22">
        <f t="shared" si="34"/>
        <v>1903657930</v>
      </c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>
        <f>+'[5]AGOSTO 2017'!$H$1554</f>
        <v>1903657930</v>
      </c>
      <c r="CH45" s="22"/>
      <c r="CI45" s="22"/>
      <c r="CJ45" s="22"/>
      <c r="CK45" s="22"/>
      <c r="CL45" s="22"/>
      <c r="CM45" s="22"/>
      <c r="CN45" s="22"/>
      <c r="CO45" s="22"/>
      <c r="CP45" s="23">
        <f t="shared" si="9"/>
        <v>0.39711066522375316</v>
      </c>
      <c r="CQ45" s="22">
        <f t="shared" si="35"/>
        <v>1253899884</v>
      </c>
      <c r="CR45" s="22">
        <f t="shared" si="38"/>
        <v>0</v>
      </c>
      <c r="CS45" s="22">
        <f t="shared" si="38"/>
        <v>0</v>
      </c>
      <c r="CT45" s="22">
        <f t="shared" si="38"/>
        <v>0</v>
      </c>
      <c r="CU45" s="22">
        <f t="shared" si="38"/>
        <v>0</v>
      </c>
      <c r="CV45" s="22">
        <f t="shared" si="38"/>
        <v>0</v>
      </c>
      <c r="CW45" s="22">
        <f t="shared" si="38"/>
        <v>0</v>
      </c>
      <c r="CX45" s="22">
        <f t="shared" si="38"/>
        <v>0</v>
      </c>
      <c r="CY45" s="22">
        <f t="shared" si="38"/>
        <v>0</v>
      </c>
      <c r="CZ45" s="22">
        <f t="shared" si="38"/>
        <v>0</v>
      </c>
      <c r="DA45" s="22">
        <f t="shared" si="38"/>
        <v>0</v>
      </c>
      <c r="DB45" s="22">
        <f t="shared" si="38"/>
        <v>0</v>
      </c>
      <c r="DC45" s="22">
        <f t="shared" si="38"/>
        <v>1253899884</v>
      </c>
      <c r="DD45" s="22">
        <f t="shared" si="38"/>
        <v>0</v>
      </c>
      <c r="DE45" s="22">
        <f t="shared" si="38"/>
        <v>0</v>
      </c>
      <c r="DF45" s="22">
        <f t="shared" si="38"/>
        <v>0</v>
      </c>
      <c r="DG45" s="22">
        <f t="shared" si="38"/>
        <v>0</v>
      </c>
      <c r="DH45" s="22">
        <f t="shared" si="40"/>
        <v>0</v>
      </c>
      <c r="DI45" s="22">
        <f t="shared" si="37"/>
        <v>0</v>
      </c>
      <c r="DJ45" s="22">
        <f t="shared" si="37"/>
        <v>0</v>
      </c>
      <c r="DK45" s="22">
        <f t="shared" si="37"/>
        <v>0</v>
      </c>
      <c r="DM45" s="26">
        <f t="shared" si="26"/>
        <v>3157557814</v>
      </c>
      <c r="DN45" s="26">
        <f t="shared" si="27"/>
        <v>3157557814</v>
      </c>
      <c r="DO45" s="26">
        <f t="shared" si="28"/>
        <v>3157557814</v>
      </c>
    </row>
    <row r="46" spans="1:120" ht="41.25" customHeight="1" x14ac:dyDescent="0.25">
      <c r="A46" s="192"/>
      <c r="B46" s="189"/>
      <c r="C46" s="18" t="s">
        <v>161</v>
      </c>
      <c r="D46" s="19" t="s">
        <v>162</v>
      </c>
      <c r="E46" s="20">
        <v>410</v>
      </c>
      <c r="F46" s="21" t="s">
        <v>107</v>
      </c>
      <c r="G46" s="22">
        <f t="shared" si="29"/>
        <v>252000000</v>
      </c>
      <c r="H46" s="22"/>
      <c r="I46" s="22">
        <f>50000000+25000000+7000000</f>
        <v>82000000</v>
      </c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>
        <f>80000000+90000000</f>
        <v>170000000</v>
      </c>
      <c r="W46" s="22"/>
      <c r="X46" s="22"/>
      <c r="Y46" s="22"/>
      <c r="Z46" s="22"/>
      <c r="AA46" s="22"/>
      <c r="AB46" s="23">
        <f t="shared" si="1"/>
        <v>0.99852913492063489</v>
      </c>
      <c r="AC46" s="22">
        <f t="shared" si="30"/>
        <v>251629342</v>
      </c>
      <c r="AD46" s="22"/>
      <c r="AE46" s="22">
        <f>+'[6]JULIO 2017'!$K$1735</f>
        <v>81629342</v>
      </c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>
        <f>+'[6]JULIO 2017'!$X$1735</f>
        <v>170000000</v>
      </c>
      <c r="AS46" s="22"/>
      <c r="AT46" s="22"/>
      <c r="AU46" s="22"/>
      <c r="AV46" s="22"/>
      <c r="AW46" s="22"/>
      <c r="AX46" s="23">
        <f t="shared" si="3"/>
        <v>1.4708650793651135E-3</v>
      </c>
      <c r="AY46" s="22">
        <f t="shared" si="31"/>
        <v>370658</v>
      </c>
      <c r="AZ46" s="22">
        <f t="shared" si="41"/>
        <v>0</v>
      </c>
      <c r="BA46" s="22">
        <f t="shared" si="41"/>
        <v>370658</v>
      </c>
      <c r="BB46" s="22">
        <f t="shared" si="41"/>
        <v>0</v>
      </c>
      <c r="BC46" s="22">
        <f t="shared" si="41"/>
        <v>0</v>
      </c>
      <c r="BD46" s="22">
        <f t="shared" si="41"/>
        <v>0</v>
      </c>
      <c r="BE46" s="22">
        <f t="shared" si="41"/>
        <v>0</v>
      </c>
      <c r="BF46" s="22">
        <f t="shared" si="41"/>
        <v>0</v>
      </c>
      <c r="BG46" s="22">
        <f t="shared" si="41"/>
        <v>0</v>
      </c>
      <c r="BH46" s="22">
        <f t="shared" si="41"/>
        <v>0</v>
      </c>
      <c r="BI46" s="22">
        <f t="shared" si="41"/>
        <v>0</v>
      </c>
      <c r="BJ46" s="22">
        <f t="shared" si="41"/>
        <v>0</v>
      </c>
      <c r="BK46" s="22">
        <f t="shared" si="41"/>
        <v>0</v>
      </c>
      <c r="BL46" s="22">
        <f t="shared" si="41"/>
        <v>0</v>
      </c>
      <c r="BM46" s="22">
        <f t="shared" si="41"/>
        <v>0</v>
      </c>
      <c r="BN46" s="22">
        <f t="shared" si="41"/>
        <v>0</v>
      </c>
      <c r="BO46" s="22">
        <f t="shared" si="39"/>
        <v>0</v>
      </c>
      <c r="BP46" s="22">
        <f t="shared" si="33"/>
        <v>0</v>
      </c>
      <c r="BQ46" s="22">
        <f t="shared" si="33"/>
        <v>0</v>
      </c>
      <c r="BR46" s="22">
        <f t="shared" si="33"/>
        <v>0</v>
      </c>
      <c r="BS46" s="22">
        <f t="shared" si="33"/>
        <v>0</v>
      </c>
      <c r="BT46" s="23">
        <f t="shared" si="7"/>
        <v>0.32392584126984125</v>
      </c>
      <c r="BU46" s="22">
        <f t="shared" si="34"/>
        <v>81629312</v>
      </c>
      <c r="BV46" s="22"/>
      <c r="BW46" s="22">
        <f>+'[6]JULIO 2017'!$H$1733</f>
        <v>81629312</v>
      </c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3">
        <f t="shared" si="9"/>
        <v>0.67607415873015875</v>
      </c>
      <c r="CQ46" s="22">
        <f t="shared" si="35"/>
        <v>170370688</v>
      </c>
      <c r="CR46" s="22">
        <f t="shared" si="38"/>
        <v>0</v>
      </c>
      <c r="CS46" s="22">
        <f t="shared" si="38"/>
        <v>370688</v>
      </c>
      <c r="CT46" s="22">
        <f t="shared" si="38"/>
        <v>0</v>
      </c>
      <c r="CU46" s="22">
        <f t="shared" si="38"/>
        <v>0</v>
      </c>
      <c r="CV46" s="22">
        <f t="shared" si="38"/>
        <v>0</v>
      </c>
      <c r="CW46" s="22">
        <f t="shared" si="38"/>
        <v>0</v>
      </c>
      <c r="CX46" s="22">
        <f t="shared" si="38"/>
        <v>0</v>
      </c>
      <c r="CY46" s="22">
        <f t="shared" si="38"/>
        <v>0</v>
      </c>
      <c r="CZ46" s="22">
        <f t="shared" si="38"/>
        <v>0</v>
      </c>
      <c r="DA46" s="22">
        <f t="shared" si="38"/>
        <v>0</v>
      </c>
      <c r="DB46" s="22">
        <f t="shared" si="38"/>
        <v>0</v>
      </c>
      <c r="DC46" s="22">
        <f t="shared" si="38"/>
        <v>0</v>
      </c>
      <c r="DD46" s="22">
        <f t="shared" si="38"/>
        <v>0</v>
      </c>
      <c r="DE46" s="22">
        <f t="shared" si="38"/>
        <v>0</v>
      </c>
      <c r="DF46" s="22">
        <f t="shared" si="38"/>
        <v>170000000</v>
      </c>
      <c r="DG46" s="22">
        <f t="shared" si="38"/>
        <v>0</v>
      </c>
      <c r="DH46" s="22">
        <f t="shared" si="40"/>
        <v>0</v>
      </c>
      <c r="DI46" s="22">
        <f t="shared" si="37"/>
        <v>0</v>
      </c>
      <c r="DJ46" s="22">
        <f t="shared" si="37"/>
        <v>0</v>
      </c>
      <c r="DK46" s="22">
        <f t="shared" si="37"/>
        <v>0</v>
      </c>
      <c r="DM46" s="26">
        <f t="shared" si="26"/>
        <v>252000000</v>
      </c>
      <c r="DN46" s="26">
        <f t="shared" si="27"/>
        <v>252000000</v>
      </c>
      <c r="DO46" s="26">
        <f t="shared" si="28"/>
        <v>252000000</v>
      </c>
    </row>
    <row r="47" spans="1:120" ht="54.75" customHeight="1" x14ac:dyDescent="0.25">
      <c r="A47" s="58"/>
      <c r="B47" s="59" t="s">
        <v>163</v>
      </c>
      <c r="C47" s="18" t="s">
        <v>164</v>
      </c>
      <c r="D47" s="19" t="s">
        <v>165</v>
      </c>
      <c r="E47" s="20">
        <v>410</v>
      </c>
      <c r="F47" s="21" t="s">
        <v>107</v>
      </c>
      <c r="G47" s="22">
        <f t="shared" si="29"/>
        <v>1000000</v>
      </c>
      <c r="H47" s="49"/>
      <c r="I47" s="22"/>
      <c r="J47" s="22"/>
      <c r="K47" s="49"/>
      <c r="L47" s="49"/>
      <c r="M47" s="22"/>
      <c r="N47" s="22"/>
      <c r="O47" s="22"/>
      <c r="P47" s="22"/>
      <c r="Q47" s="22"/>
      <c r="R47" s="22"/>
      <c r="S47" s="22"/>
      <c r="T47" s="22"/>
      <c r="U47" s="22"/>
      <c r="V47" s="22">
        <v>1000000</v>
      </c>
      <c r="W47" s="22"/>
      <c r="X47" s="22"/>
      <c r="Y47" s="22"/>
      <c r="Z47" s="22"/>
      <c r="AA47" s="22"/>
      <c r="AB47" s="23">
        <f>+AC47/G47</f>
        <v>0</v>
      </c>
      <c r="AC47" s="22">
        <f t="shared" si="30"/>
        <v>0</v>
      </c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3">
        <f t="shared" si="3"/>
        <v>1</v>
      </c>
      <c r="AY47" s="22">
        <f t="shared" si="31"/>
        <v>1000000</v>
      </c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>
        <f t="shared" si="41"/>
        <v>1000000</v>
      </c>
      <c r="BO47" s="22"/>
      <c r="BP47" s="22"/>
      <c r="BQ47" s="22"/>
      <c r="BR47" s="22"/>
      <c r="BS47" s="22"/>
      <c r="BT47" s="23">
        <f t="shared" si="7"/>
        <v>0</v>
      </c>
      <c r="BU47" s="22">
        <f t="shared" si="34"/>
        <v>0</v>
      </c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3">
        <f t="shared" si="9"/>
        <v>1</v>
      </c>
      <c r="CQ47" s="22">
        <f t="shared" si="35"/>
        <v>1000000</v>
      </c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>
        <f t="shared" si="38"/>
        <v>1000000</v>
      </c>
      <c r="DG47" s="22"/>
      <c r="DH47" s="22"/>
      <c r="DI47" s="22"/>
      <c r="DJ47" s="22"/>
      <c r="DK47" s="22"/>
      <c r="DM47" s="26">
        <f t="shared" si="26"/>
        <v>1000000</v>
      </c>
      <c r="DN47" s="26">
        <f t="shared" si="27"/>
        <v>1000000</v>
      </c>
      <c r="DO47" s="26">
        <f t="shared" si="28"/>
        <v>1000000</v>
      </c>
    </row>
    <row r="48" spans="1:120" ht="90" x14ac:dyDescent="0.25">
      <c r="A48" s="58"/>
      <c r="B48" s="56" t="s">
        <v>166</v>
      </c>
      <c r="C48" s="18" t="s">
        <v>167</v>
      </c>
      <c r="D48" s="19" t="s">
        <v>168</v>
      </c>
      <c r="E48" s="20">
        <v>410</v>
      </c>
      <c r="F48" s="21" t="s">
        <v>107</v>
      </c>
      <c r="G48" s="22">
        <f>SUM(H48:AA48)</f>
        <v>1000000</v>
      </c>
      <c r="H48" s="49"/>
      <c r="I48" s="22"/>
      <c r="J48" s="22"/>
      <c r="K48" s="49"/>
      <c r="L48" s="49"/>
      <c r="M48" s="22"/>
      <c r="N48" s="22"/>
      <c r="O48" s="22"/>
      <c r="P48" s="22"/>
      <c r="Q48" s="22"/>
      <c r="R48" s="22"/>
      <c r="S48" s="22"/>
      <c r="T48" s="22"/>
      <c r="U48" s="22"/>
      <c r="V48" s="22">
        <v>1000000</v>
      </c>
      <c r="W48" s="22"/>
      <c r="X48" s="22"/>
      <c r="Y48" s="22"/>
      <c r="Z48" s="22"/>
      <c r="AA48" s="22"/>
      <c r="AB48" s="23">
        <f>+AC48/G48</f>
        <v>0</v>
      </c>
      <c r="AC48" s="22">
        <f t="shared" si="30"/>
        <v>0</v>
      </c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3">
        <f t="shared" si="3"/>
        <v>1</v>
      </c>
      <c r="AY48" s="22">
        <f t="shared" si="31"/>
        <v>1000000</v>
      </c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>
        <f t="shared" si="41"/>
        <v>1000000</v>
      </c>
      <c r="BO48" s="22"/>
      <c r="BP48" s="22"/>
      <c r="BQ48" s="22"/>
      <c r="BR48" s="22"/>
      <c r="BS48" s="22"/>
      <c r="BT48" s="23">
        <f t="shared" si="7"/>
        <v>0</v>
      </c>
      <c r="BU48" s="22">
        <f t="shared" si="34"/>
        <v>0</v>
      </c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3">
        <f t="shared" si="9"/>
        <v>1</v>
      </c>
      <c r="CQ48" s="22">
        <f t="shared" si="35"/>
        <v>1000000</v>
      </c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>
        <f t="shared" si="38"/>
        <v>1000000</v>
      </c>
      <c r="DG48" s="22"/>
      <c r="DH48" s="22"/>
      <c r="DI48" s="22"/>
      <c r="DJ48" s="22"/>
      <c r="DK48" s="22"/>
      <c r="DM48" s="26">
        <f t="shared" si="26"/>
        <v>1000000</v>
      </c>
      <c r="DN48" s="26">
        <f t="shared" si="27"/>
        <v>1000000</v>
      </c>
      <c r="DO48" s="26">
        <f t="shared" si="28"/>
        <v>1000000</v>
      </c>
    </row>
    <row r="49" spans="1:119" ht="36" customHeight="1" x14ac:dyDescent="0.25">
      <c r="A49" s="192"/>
      <c r="B49" s="191" t="s">
        <v>169</v>
      </c>
      <c r="C49" s="18" t="s">
        <v>170</v>
      </c>
      <c r="D49" s="19" t="s">
        <v>171</v>
      </c>
      <c r="E49" s="20">
        <v>410</v>
      </c>
      <c r="F49" s="21" t="s">
        <v>107</v>
      </c>
      <c r="G49" s="22">
        <f t="shared" si="29"/>
        <v>80000000</v>
      </c>
      <c r="H49" s="49"/>
      <c r="I49" s="22">
        <v>50000000</v>
      </c>
      <c r="J49" s="22"/>
      <c r="K49" s="49"/>
      <c r="L49" s="49"/>
      <c r="M49" s="33"/>
      <c r="N49" s="33"/>
      <c r="O49" s="33"/>
      <c r="P49" s="33"/>
      <c r="Q49" s="22"/>
      <c r="R49" s="22"/>
      <c r="S49" s="22"/>
      <c r="T49" s="22"/>
      <c r="U49" s="22"/>
      <c r="V49" s="22">
        <v>30000000</v>
      </c>
      <c r="W49" s="22"/>
      <c r="X49" s="22"/>
      <c r="Y49" s="22"/>
      <c r="Z49" s="22"/>
      <c r="AA49" s="22"/>
      <c r="AB49" s="23">
        <f t="shared" si="1"/>
        <v>0.68225716250000001</v>
      </c>
      <c r="AC49" s="22">
        <f t="shared" si="30"/>
        <v>54580573</v>
      </c>
      <c r="AD49" s="22"/>
      <c r="AE49" s="22">
        <f>+'[6]JULIO 2017'!$K$1774</f>
        <v>48967535</v>
      </c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>
        <f>+'[5]AGOSTO 2017'!$X$2060</f>
        <v>5613038</v>
      </c>
      <c r="AS49" s="22"/>
      <c r="AT49" s="22"/>
      <c r="AU49" s="22"/>
      <c r="AV49" s="22"/>
      <c r="AW49" s="22"/>
      <c r="AX49" s="23">
        <f t="shared" si="3"/>
        <v>0.31774283749999999</v>
      </c>
      <c r="AY49" s="22">
        <f t="shared" si="31"/>
        <v>25419427</v>
      </c>
      <c r="AZ49" s="22">
        <f t="shared" si="41"/>
        <v>0</v>
      </c>
      <c r="BA49" s="22">
        <f t="shared" si="41"/>
        <v>1032465</v>
      </c>
      <c r="BB49" s="22">
        <f t="shared" si="41"/>
        <v>0</v>
      </c>
      <c r="BC49" s="22">
        <f t="shared" si="41"/>
        <v>0</v>
      </c>
      <c r="BD49" s="22">
        <f t="shared" si="41"/>
        <v>0</v>
      </c>
      <c r="BE49" s="22">
        <f t="shared" si="41"/>
        <v>0</v>
      </c>
      <c r="BF49" s="22">
        <f t="shared" si="41"/>
        <v>0</v>
      </c>
      <c r="BG49" s="22">
        <f t="shared" si="41"/>
        <v>0</v>
      </c>
      <c r="BH49" s="22">
        <f t="shared" si="41"/>
        <v>0</v>
      </c>
      <c r="BI49" s="22">
        <f t="shared" si="41"/>
        <v>0</v>
      </c>
      <c r="BJ49" s="22">
        <f t="shared" si="41"/>
        <v>0</v>
      </c>
      <c r="BK49" s="22">
        <f t="shared" si="41"/>
        <v>0</v>
      </c>
      <c r="BL49" s="22">
        <f t="shared" si="41"/>
        <v>0</v>
      </c>
      <c r="BM49" s="22">
        <f t="shared" si="41"/>
        <v>0</v>
      </c>
      <c r="BN49" s="22">
        <f t="shared" si="41"/>
        <v>24386962</v>
      </c>
      <c r="BO49" s="22">
        <f t="shared" si="39"/>
        <v>0</v>
      </c>
      <c r="BP49" s="22">
        <f t="shared" si="33"/>
        <v>0</v>
      </c>
      <c r="BQ49" s="22">
        <f t="shared" si="33"/>
        <v>0</v>
      </c>
      <c r="BR49" s="22">
        <f t="shared" si="33"/>
        <v>0</v>
      </c>
      <c r="BS49" s="22">
        <f t="shared" si="33"/>
        <v>0</v>
      </c>
      <c r="BT49" s="23">
        <f t="shared" si="7"/>
        <v>0.68225716250000001</v>
      </c>
      <c r="BU49" s="22">
        <f t="shared" si="34"/>
        <v>54580573</v>
      </c>
      <c r="BV49" s="22"/>
      <c r="BW49" s="22">
        <f>+'[6]JULIO 2017'!$K$1774</f>
        <v>48967535</v>
      </c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>
        <f>+'[5]AGOSTO 2017'!$H$2058-BW49</f>
        <v>5613038</v>
      </c>
      <c r="CK49" s="22"/>
      <c r="CL49" s="22"/>
      <c r="CM49" s="22"/>
      <c r="CN49" s="22"/>
      <c r="CO49" s="22"/>
      <c r="CP49" s="23">
        <f t="shared" si="9"/>
        <v>0.31774283749999999</v>
      </c>
      <c r="CQ49" s="22">
        <f t="shared" si="35"/>
        <v>25419427</v>
      </c>
      <c r="CR49" s="22">
        <f t="shared" si="38"/>
        <v>0</v>
      </c>
      <c r="CS49" s="22">
        <f t="shared" si="38"/>
        <v>1032465</v>
      </c>
      <c r="CT49" s="22">
        <f t="shared" si="38"/>
        <v>0</v>
      </c>
      <c r="CU49" s="22">
        <f t="shared" si="38"/>
        <v>0</v>
      </c>
      <c r="CV49" s="22">
        <f t="shared" si="38"/>
        <v>0</v>
      </c>
      <c r="CW49" s="22">
        <f t="shared" si="38"/>
        <v>0</v>
      </c>
      <c r="CX49" s="22">
        <f t="shared" si="38"/>
        <v>0</v>
      </c>
      <c r="CY49" s="22">
        <f t="shared" si="38"/>
        <v>0</v>
      </c>
      <c r="CZ49" s="22">
        <f t="shared" si="38"/>
        <v>0</v>
      </c>
      <c r="DA49" s="22">
        <f t="shared" si="38"/>
        <v>0</v>
      </c>
      <c r="DB49" s="22">
        <f t="shared" si="38"/>
        <v>0</v>
      </c>
      <c r="DC49" s="22">
        <f t="shared" si="38"/>
        <v>0</v>
      </c>
      <c r="DD49" s="22">
        <f t="shared" si="38"/>
        <v>0</v>
      </c>
      <c r="DE49" s="22">
        <f t="shared" si="38"/>
        <v>0</v>
      </c>
      <c r="DF49" s="22">
        <f t="shared" si="38"/>
        <v>24386962</v>
      </c>
      <c r="DG49" s="22">
        <f t="shared" si="38"/>
        <v>0</v>
      </c>
      <c r="DH49" s="22">
        <f t="shared" si="40"/>
        <v>0</v>
      </c>
      <c r="DI49" s="22">
        <f t="shared" si="37"/>
        <v>0</v>
      </c>
      <c r="DJ49" s="22">
        <f t="shared" si="37"/>
        <v>0</v>
      </c>
      <c r="DK49" s="22">
        <f t="shared" si="37"/>
        <v>0</v>
      </c>
      <c r="DL49" s="47"/>
      <c r="DM49" s="26">
        <f t="shared" si="26"/>
        <v>80000000</v>
      </c>
      <c r="DN49" s="26">
        <f t="shared" si="27"/>
        <v>80000000</v>
      </c>
      <c r="DO49" s="26">
        <f t="shared" si="28"/>
        <v>80000000</v>
      </c>
    </row>
    <row r="50" spans="1:119" ht="33.75" customHeight="1" x14ac:dyDescent="0.25">
      <c r="A50" s="192"/>
      <c r="B50" s="190"/>
      <c r="C50" s="18" t="s">
        <v>172</v>
      </c>
      <c r="D50" s="19" t="s">
        <v>173</v>
      </c>
      <c r="E50" s="20">
        <v>410</v>
      </c>
      <c r="F50" s="21" t="s">
        <v>151</v>
      </c>
      <c r="G50" s="22">
        <f t="shared" si="29"/>
        <v>50000000</v>
      </c>
      <c r="H50" s="49"/>
      <c r="I50" s="22"/>
      <c r="J50" s="22">
        <v>50000000</v>
      </c>
      <c r="K50" s="49"/>
      <c r="L50" s="49"/>
      <c r="M50" s="33"/>
      <c r="N50" s="33"/>
      <c r="O50" s="33"/>
      <c r="P50" s="33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>
        <f>5000000-5000000</f>
        <v>0</v>
      </c>
      <c r="AB50" s="23">
        <f t="shared" si="1"/>
        <v>0.97217120000000001</v>
      </c>
      <c r="AC50" s="22">
        <f t="shared" si="30"/>
        <v>48608560</v>
      </c>
      <c r="AD50" s="22"/>
      <c r="AE50" s="22"/>
      <c r="AF50" s="22">
        <f>+'[6]JULIO 2017'!$L$1803</f>
        <v>48608560</v>
      </c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3">
        <f t="shared" si="3"/>
        <v>2.7828799999999987E-2</v>
      </c>
      <c r="AY50" s="22">
        <f t="shared" si="31"/>
        <v>1391440</v>
      </c>
      <c r="AZ50" s="22">
        <f t="shared" si="41"/>
        <v>0</v>
      </c>
      <c r="BA50" s="22">
        <f t="shared" si="41"/>
        <v>0</v>
      </c>
      <c r="BB50" s="22">
        <f t="shared" si="41"/>
        <v>1391440</v>
      </c>
      <c r="BC50" s="22">
        <f t="shared" si="41"/>
        <v>0</v>
      </c>
      <c r="BD50" s="22">
        <f t="shared" si="41"/>
        <v>0</v>
      </c>
      <c r="BE50" s="22">
        <f t="shared" si="41"/>
        <v>0</v>
      </c>
      <c r="BF50" s="22">
        <f t="shared" si="41"/>
        <v>0</v>
      </c>
      <c r="BG50" s="22">
        <f t="shared" si="41"/>
        <v>0</v>
      </c>
      <c r="BH50" s="22">
        <f t="shared" si="41"/>
        <v>0</v>
      </c>
      <c r="BI50" s="22">
        <f t="shared" si="41"/>
        <v>0</v>
      </c>
      <c r="BJ50" s="22">
        <f t="shared" si="41"/>
        <v>0</v>
      </c>
      <c r="BK50" s="22">
        <f t="shared" si="41"/>
        <v>0</v>
      </c>
      <c r="BL50" s="22">
        <f t="shared" si="41"/>
        <v>0</v>
      </c>
      <c r="BM50" s="22">
        <f t="shared" si="41"/>
        <v>0</v>
      </c>
      <c r="BN50" s="22">
        <f t="shared" si="41"/>
        <v>0</v>
      </c>
      <c r="BO50" s="22">
        <f t="shared" si="39"/>
        <v>0</v>
      </c>
      <c r="BP50" s="22">
        <f t="shared" si="33"/>
        <v>0</v>
      </c>
      <c r="BQ50" s="22">
        <f t="shared" si="33"/>
        <v>0</v>
      </c>
      <c r="BR50" s="22">
        <f t="shared" si="33"/>
        <v>0</v>
      </c>
      <c r="BS50" s="22">
        <f t="shared" si="33"/>
        <v>0</v>
      </c>
      <c r="BT50" s="23">
        <f t="shared" si="7"/>
        <v>0.82217123999999997</v>
      </c>
      <c r="BU50" s="22">
        <f t="shared" si="34"/>
        <v>41108562</v>
      </c>
      <c r="BV50" s="22"/>
      <c r="BW50" s="22"/>
      <c r="BX50" s="22">
        <f>+'[5]AGOSTO 2017'!$H$2091</f>
        <v>41108562</v>
      </c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3">
        <f t="shared" si="9"/>
        <v>0.17782876000000003</v>
      </c>
      <c r="CQ50" s="22">
        <f t="shared" si="35"/>
        <v>8891438</v>
      </c>
      <c r="CR50" s="22">
        <f t="shared" si="38"/>
        <v>0</v>
      </c>
      <c r="CS50" s="22">
        <f t="shared" si="38"/>
        <v>0</v>
      </c>
      <c r="CT50" s="22">
        <f t="shared" si="38"/>
        <v>8891438</v>
      </c>
      <c r="CU50" s="22">
        <f t="shared" si="38"/>
        <v>0</v>
      </c>
      <c r="CV50" s="22">
        <f t="shared" si="38"/>
        <v>0</v>
      </c>
      <c r="CW50" s="22">
        <f t="shared" si="38"/>
        <v>0</v>
      </c>
      <c r="CX50" s="22">
        <f t="shared" si="38"/>
        <v>0</v>
      </c>
      <c r="CY50" s="22">
        <f t="shared" si="38"/>
        <v>0</v>
      </c>
      <c r="CZ50" s="22">
        <f t="shared" si="38"/>
        <v>0</v>
      </c>
      <c r="DA50" s="22">
        <f t="shared" si="38"/>
        <v>0</v>
      </c>
      <c r="DB50" s="22">
        <f t="shared" si="38"/>
        <v>0</v>
      </c>
      <c r="DC50" s="22">
        <f t="shared" si="38"/>
        <v>0</v>
      </c>
      <c r="DD50" s="22">
        <f t="shared" si="38"/>
        <v>0</v>
      </c>
      <c r="DE50" s="22">
        <f t="shared" si="38"/>
        <v>0</v>
      </c>
      <c r="DF50" s="22">
        <f t="shared" si="38"/>
        <v>0</v>
      </c>
      <c r="DG50" s="22">
        <f t="shared" si="38"/>
        <v>0</v>
      </c>
      <c r="DH50" s="22">
        <f t="shared" si="40"/>
        <v>0</v>
      </c>
      <c r="DI50" s="22">
        <f t="shared" si="37"/>
        <v>0</v>
      </c>
      <c r="DJ50" s="22">
        <f t="shared" si="37"/>
        <v>0</v>
      </c>
      <c r="DK50" s="22">
        <f t="shared" si="37"/>
        <v>0</v>
      </c>
      <c r="DL50" s="47"/>
      <c r="DM50" s="26">
        <f t="shared" si="26"/>
        <v>50000000</v>
      </c>
      <c r="DN50" s="26">
        <f t="shared" si="27"/>
        <v>50000000</v>
      </c>
      <c r="DO50" s="26">
        <f t="shared" si="28"/>
        <v>50000000</v>
      </c>
    </row>
    <row r="51" spans="1:119" ht="51.75" customHeight="1" x14ac:dyDescent="0.25">
      <c r="A51" s="192"/>
      <c r="B51" s="191" t="s">
        <v>174</v>
      </c>
      <c r="C51" s="18" t="s">
        <v>175</v>
      </c>
      <c r="D51" s="19" t="s">
        <v>176</v>
      </c>
      <c r="E51" s="20">
        <v>410</v>
      </c>
      <c r="F51" s="21" t="s">
        <v>177</v>
      </c>
      <c r="G51" s="22">
        <f t="shared" si="29"/>
        <v>40000000</v>
      </c>
      <c r="H51" s="33"/>
      <c r="I51" s="22"/>
      <c r="J51" s="22">
        <v>20000000</v>
      </c>
      <c r="K51" s="22"/>
      <c r="L51" s="33"/>
      <c r="M51" s="33"/>
      <c r="N51" s="33"/>
      <c r="O51" s="33"/>
      <c r="P51" s="33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>
        <v>20000000</v>
      </c>
      <c r="AB51" s="23">
        <f t="shared" si="1"/>
        <v>0.36</v>
      </c>
      <c r="AC51" s="22">
        <f t="shared" si="30"/>
        <v>14400000</v>
      </c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>
        <f>+'[3]JUNIO 2017'!$AC$1224</f>
        <v>14400000</v>
      </c>
      <c r="AX51" s="23">
        <f t="shared" si="3"/>
        <v>0.64</v>
      </c>
      <c r="AY51" s="22">
        <f t="shared" si="31"/>
        <v>25600000</v>
      </c>
      <c r="AZ51" s="22">
        <f t="shared" si="41"/>
        <v>0</v>
      </c>
      <c r="BA51" s="22">
        <f t="shared" si="41"/>
        <v>0</v>
      </c>
      <c r="BB51" s="22">
        <f t="shared" si="41"/>
        <v>20000000</v>
      </c>
      <c r="BC51" s="22">
        <f t="shared" si="41"/>
        <v>0</v>
      </c>
      <c r="BD51" s="22">
        <f t="shared" si="41"/>
        <v>0</v>
      </c>
      <c r="BE51" s="22">
        <f t="shared" si="41"/>
        <v>0</v>
      </c>
      <c r="BF51" s="22">
        <f t="shared" si="41"/>
        <v>0</v>
      </c>
      <c r="BG51" s="22">
        <f t="shared" si="41"/>
        <v>0</v>
      </c>
      <c r="BH51" s="22">
        <f t="shared" si="41"/>
        <v>0</v>
      </c>
      <c r="BI51" s="22">
        <f t="shared" si="41"/>
        <v>0</v>
      </c>
      <c r="BJ51" s="22">
        <f t="shared" si="41"/>
        <v>0</v>
      </c>
      <c r="BK51" s="22">
        <f t="shared" si="41"/>
        <v>0</v>
      </c>
      <c r="BL51" s="22">
        <f t="shared" si="41"/>
        <v>0</v>
      </c>
      <c r="BM51" s="22">
        <f t="shared" si="41"/>
        <v>0</v>
      </c>
      <c r="BN51" s="22">
        <f t="shared" si="41"/>
        <v>0</v>
      </c>
      <c r="BO51" s="22">
        <f t="shared" si="39"/>
        <v>0</v>
      </c>
      <c r="BP51" s="22">
        <f t="shared" si="33"/>
        <v>0</v>
      </c>
      <c r="BQ51" s="22">
        <f t="shared" si="33"/>
        <v>0</v>
      </c>
      <c r="BR51" s="22">
        <f t="shared" si="33"/>
        <v>0</v>
      </c>
      <c r="BS51" s="22">
        <f t="shared" si="33"/>
        <v>5600000</v>
      </c>
      <c r="BT51" s="23">
        <f t="shared" si="7"/>
        <v>0.36</v>
      </c>
      <c r="BU51" s="22">
        <f t="shared" si="34"/>
        <v>14400000</v>
      </c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>
        <f>+'[5]AGOSTO 2017'!$H$2102</f>
        <v>14400000</v>
      </c>
      <c r="CP51" s="23">
        <f t="shared" si="9"/>
        <v>0.64</v>
      </c>
      <c r="CQ51" s="22">
        <f t="shared" si="35"/>
        <v>25600000</v>
      </c>
      <c r="CR51" s="22">
        <f t="shared" si="38"/>
        <v>0</v>
      </c>
      <c r="CS51" s="22">
        <f t="shared" si="38"/>
        <v>0</v>
      </c>
      <c r="CT51" s="22">
        <f t="shared" si="38"/>
        <v>20000000</v>
      </c>
      <c r="CU51" s="22">
        <f t="shared" si="38"/>
        <v>0</v>
      </c>
      <c r="CV51" s="22">
        <f t="shared" si="38"/>
        <v>0</v>
      </c>
      <c r="CW51" s="22">
        <f t="shared" si="38"/>
        <v>0</v>
      </c>
      <c r="CX51" s="22">
        <f t="shared" si="38"/>
        <v>0</v>
      </c>
      <c r="CY51" s="22">
        <f t="shared" si="38"/>
        <v>0</v>
      </c>
      <c r="CZ51" s="22">
        <f t="shared" si="38"/>
        <v>0</v>
      </c>
      <c r="DA51" s="22">
        <f t="shared" si="38"/>
        <v>0</v>
      </c>
      <c r="DB51" s="22">
        <f t="shared" si="38"/>
        <v>0</v>
      </c>
      <c r="DC51" s="22">
        <f t="shared" si="38"/>
        <v>0</v>
      </c>
      <c r="DD51" s="22">
        <f t="shared" si="38"/>
        <v>0</v>
      </c>
      <c r="DE51" s="22">
        <f t="shared" si="38"/>
        <v>0</v>
      </c>
      <c r="DF51" s="22">
        <f t="shared" si="38"/>
        <v>0</v>
      </c>
      <c r="DG51" s="22">
        <f t="shared" si="38"/>
        <v>0</v>
      </c>
      <c r="DH51" s="22">
        <f t="shared" si="40"/>
        <v>0</v>
      </c>
      <c r="DI51" s="22">
        <f t="shared" si="37"/>
        <v>0</v>
      </c>
      <c r="DJ51" s="22">
        <f t="shared" si="37"/>
        <v>0</v>
      </c>
      <c r="DK51" s="22">
        <f t="shared" si="37"/>
        <v>5600000</v>
      </c>
      <c r="DM51" s="26">
        <f t="shared" si="26"/>
        <v>40000000</v>
      </c>
      <c r="DN51" s="26">
        <f t="shared" si="27"/>
        <v>40000000</v>
      </c>
      <c r="DO51" s="26">
        <f t="shared" si="28"/>
        <v>40000000</v>
      </c>
    </row>
    <row r="52" spans="1:119" ht="34.5" customHeight="1" x14ac:dyDescent="0.25">
      <c r="A52" s="192"/>
      <c r="B52" s="189"/>
      <c r="C52" s="18" t="s">
        <v>178</v>
      </c>
      <c r="D52" s="19" t="s">
        <v>179</v>
      </c>
      <c r="E52" s="20">
        <v>410</v>
      </c>
      <c r="F52" s="21" t="s">
        <v>107</v>
      </c>
      <c r="G52" s="22">
        <f t="shared" si="29"/>
        <v>10000000</v>
      </c>
      <c r="H52" s="33"/>
      <c r="I52" s="22"/>
      <c r="J52" s="22">
        <v>10000000</v>
      </c>
      <c r="K52" s="22"/>
      <c r="L52" s="33"/>
      <c r="M52" s="33"/>
      <c r="N52" s="33"/>
      <c r="O52" s="33"/>
      <c r="P52" s="33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3">
        <f t="shared" si="1"/>
        <v>0.80938730000000003</v>
      </c>
      <c r="AC52" s="22">
        <f t="shared" si="30"/>
        <v>8093873</v>
      </c>
      <c r="AD52" s="22"/>
      <c r="AE52" s="22"/>
      <c r="AF52" s="22">
        <f>+'[8]ABRIL 2017'!$L$894</f>
        <v>8093873</v>
      </c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3">
        <f t="shared" si="3"/>
        <v>0.19061269999999997</v>
      </c>
      <c r="AY52" s="22">
        <f t="shared" si="31"/>
        <v>1906127</v>
      </c>
      <c r="AZ52" s="22">
        <f t="shared" si="41"/>
        <v>0</v>
      </c>
      <c r="BA52" s="22">
        <f t="shared" si="41"/>
        <v>0</v>
      </c>
      <c r="BB52" s="22">
        <f t="shared" si="41"/>
        <v>1906127</v>
      </c>
      <c r="BC52" s="22">
        <f t="shared" si="41"/>
        <v>0</v>
      </c>
      <c r="BD52" s="22">
        <f t="shared" si="41"/>
        <v>0</v>
      </c>
      <c r="BE52" s="22">
        <f t="shared" si="41"/>
        <v>0</v>
      </c>
      <c r="BF52" s="22">
        <f t="shared" si="41"/>
        <v>0</v>
      </c>
      <c r="BG52" s="22">
        <f t="shared" si="41"/>
        <v>0</v>
      </c>
      <c r="BH52" s="22">
        <f t="shared" si="41"/>
        <v>0</v>
      </c>
      <c r="BI52" s="22">
        <f t="shared" si="41"/>
        <v>0</v>
      </c>
      <c r="BJ52" s="22">
        <f t="shared" si="41"/>
        <v>0</v>
      </c>
      <c r="BK52" s="22">
        <f t="shared" si="41"/>
        <v>0</v>
      </c>
      <c r="BL52" s="22">
        <f t="shared" si="41"/>
        <v>0</v>
      </c>
      <c r="BM52" s="22">
        <f t="shared" si="41"/>
        <v>0</v>
      </c>
      <c r="BN52" s="22">
        <f t="shared" si="41"/>
        <v>0</v>
      </c>
      <c r="BO52" s="22">
        <f t="shared" si="39"/>
        <v>0</v>
      </c>
      <c r="BP52" s="22">
        <f t="shared" si="33"/>
        <v>0</v>
      </c>
      <c r="BQ52" s="22">
        <f t="shared" si="33"/>
        <v>0</v>
      </c>
      <c r="BR52" s="22">
        <f t="shared" si="33"/>
        <v>0</v>
      </c>
      <c r="BS52" s="22">
        <f t="shared" si="33"/>
        <v>0</v>
      </c>
      <c r="BT52" s="23">
        <f t="shared" si="7"/>
        <v>0.80938730000000003</v>
      </c>
      <c r="BU52" s="22">
        <f t="shared" si="34"/>
        <v>8093873</v>
      </c>
      <c r="BV52" s="22"/>
      <c r="BW52" s="22"/>
      <c r="BX52" s="22">
        <f>+'[8]ABRIL 2017'!$H$892</f>
        <v>8093873</v>
      </c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3">
        <f t="shared" si="9"/>
        <v>0.19061269999999997</v>
      </c>
      <c r="CQ52" s="22">
        <f t="shared" si="35"/>
        <v>1906127</v>
      </c>
      <c r="CR52" s="22">
        <f t="shared" si="38"/>
        <v>0</v>
      </c>
      <c r="CS52" s="22">
        <f t="shared" si="38"/>
        <v>0</v>
      </c>
      <c r="CT52" s="22">
        <f t="shared" si="38"/>
        <v>1906127</v>
      </c>
      <c r="CU52" s="22">
        <f t="shared" si="38"/>
        <v>0</v>
      </c>
      <c r="CV52" s="22">
        <f t="shared" si="38"/>
        <v>0</v>
      </c>
      <c r="CW52" s="22">
        <f t="shared" si="38"/>
        <v>0</v>
      </c>
      <c r="CX52" s="22">
        <f t="shared" si="38"/>
        <v>0</v>
      </c>
      <c r="CY52" s="22">
        <f t="shared" si="38"/>
        <v>0</v>
      </c>
      <c r="CZ52" s="22">
        <f t="shared" si="38"/>
        <v>0</v>
      </c>
      <c r="DA52" s="22">
        <f t="shared" si="38"/>
        <v>0</v>
      </c>
      <c r="DB52" s="22">
        <f t="shared" si="38"/>
        <v>0</v>
      </c>
      <c r="DC52" s="22">
        <f t="shared" si="38"/>
        <v>0</v>
      </c>
      <c r="DD52" s="22">
        <f t="shared" si="38"/>
        <v>0</v>
      </c>
      <c r="DE52" s="22">
        <f t="shared" si="38"/>
        <v>0</v>
      </c>
      <c r="DF52" s="22">
        <f t="shared" si="38"/>
        <v>0</v>
      </c>
      <c r="DG52" s="22">
        <f t="shared" si="38"/>
        <v>0</v>
      </c>
      <c r="DH52" s="22">
        <f t="shared" si="40"/>
        <v>0</v>
      </c>
      <c r="DI52" s="22">
        <f t="shared" si="37"/>
        <v>0</v>
      </c>
      <c r="DJ52" s="22">
        <f t="shared" si="37"/>
        <v>0</v>
      </c>
      <c r="DK52" s="22">
        <f t="shared" si="37"/>
        <v>0</v>
      </c>
      <c r="DM52" s="26">
        <f t="shared" si="26"/>
        <v>10000000</v>
      </c>
      <c r="DN52" s="26">
        <f t="shared" si="27"/>
        <v>10000000</v>
      </c>
      <c r="DO52" s="26">
        <f t="shared" si="28"/>
        <v>10000000</v>
      </c>
    </row>
    <row r="53" spans="1:119" ht="35.25" customHeight="1" x14ac:dyDescent="0.25">
      <c r="A53" s="192"/>
      <c r="B53" s="189"/>
      <c r="C53" s="18" t="s">
        <v>180</v>
      </c>
      <c r="D53" s="19" t="s">
        <v>181</v>
      </c>
      <c r="E53" s="20">
        <v>410</v>
      </c>
      <c r="F53" s="21" t="s">
        <v>107</v>
      </c>
      <c r="G53" s="22">
        <f t="shared" si="29"/>
        <v>130000000</v>
      </c>
      <c r="H53" s="33"/>
      <c r="I53" s="22"/>
      <c r="J53" s="22">
        <v>70000000</v>
      </c>
      <c r="K53" s="22">
        <f>60000000</f>
        <v>60000000</v>
      </c>
      <c r="L53" s="33"/>
      <c r="M53" s="33"/>
      <c r="N53" s="33"/>
      <c r="O53" s="33"/>
      <c r="P53" s="33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3">
        <f t="shared" si="1"/>
        <v>0.68966893846153843</v>
      </c>
      <c r="AC53" s="22">
        <f t="shared" si="30"/>
        <v>89656962</v>
      </c>
      <c r="AD53" s="22"/>
      <c r="AE53" s="22"/>
      <c r="AF53" s="22">
        <f>28479822+1177140</f>
        <v>29656962</v>
      </c>
      <c r="AG53" s="22">
        <v>60000000</v>
      </c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3">
        <f t="shared" si="3"/>
        <v>0.31033106153846157</v>
      </c>
      <c r="AY53" s="22">
        <f t="shared" si="31"/>
        <v>40343038</v>
      </c>
      <c r="AZ53" s="22">
        <f t="shared" si="41"/>
        <v>0</v>
      </c>
      <c r="BA53" s="22">
        <f t="shared" si="41"/>
        <v>0</v>
      </c>
      <c r="BB53" s="22">
        <f t="shared" si="41"/>
        <v>40343038</v>
      </c>
      <c r="BC53" s="22">
        <f t="shared" si="41"/>
        <v>0</v>
      </c>
      <c r="BD53" s="22">
        <f t="shared" si="41"/>
        <v>0</v>
      </c>
      <c r="BE53" s="22">
        <f t="shared" si="41"/>
        <v>0</v>
      </c>
      <c r="BF53" s="22">
        <f t="shared" si="41"/>
        <v>0</v>
      </c>
      <c r="BG53" s="22">
        <f t="shared" si="41"/>
        <v>0</v>
      </c>
      <c r="BH53" s="22">
        <f t="shared" si="41"/>
        <v>0</v>
      </c>
      <c r="BI53" s="22">
        <f t="shared" si="41"/>
        <v>0</v>
      </c>
      <c r="BJ53" s="22">
        <f t="shared" si="41"/>
        <v>0</v>
      </c>
      <c r="BK53" s="22">
        <f t="shared" si="41"/>
        <v>0</v>
      </c>
      <c r="BL53" s="22">
        <f t="shared" si="41"/>
        <v>0</v>
      </c>
      <c r="BM53" s="22">
        <f t="shared" si="41"/>
        <v>0</v>
      </c>
      <c r="BN53" s="22">
        <f t="shared" si="41"/>
        <v>0</v>
      </c>
      <c r="BO53" s="22">
        <f t="shared" si="39"/>
        <v>0</v>
      </c>
      <c r="BP53" s="22">
        <f t="shared" si="33"/>
        <v>0</v>
      </c>
      <c r="BQ53" s="22">
        <f t="shared" si="33"/>
        <v>0</v>
      </c>
      <c r="BR53" s="22">
        <f t="shared" si="33"/>
        <v>0</v>
      </c>
      <c r="BS53" s="22">
        <f t="shared" si="33"/>
        <v>0</v>
      </c>
      <c r="BT53" s="23">
        <f t="shared" si="7"/>
        <v>0.6878458615384615</v>
      </c>
      <c r="BU53" s="22">
        <f t="shared" si="34"/>
        <v>89419962</v>
      </c>
      <c r="BV53" s="22"/>
      <c r="BW53" s="22"/>
      <c r="BX53" s="22">
        <v>29419962</v>
      </c>
      <c r="BY53" s="22">
        <v>60000000</v>
      </c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3">
        <f t="shared" si="9"/>
        <v>0.3121541384615385</v>
      </c>
      <c r="CQ53" s="22">
        <f t="shared" si="35"/>
        <v>40580038</v>
      </c>
      <c r="CR53" s="22">
        <f t="shared" si="38"/>
        <v>0</v>
      </c>
      <c r="CS53" s="22">
        <f t="shared" si="38"/>
        <v>0</v>
      </c>
      <c r="CT53" s="22">
        <f t="shared" si="38"/>
        <v>40580038</v>
      </c>
      <c r="CU53" s="22">
        <f t="shared" si="38"/>
        <v>0</v>
      </c>
      <c r="CV53" s="22">
        <f t="shared" si="38"/>
        <v>0</v>
      </c>
      <c r="CW53" s="22">
        <f t="shared" si="38"/>
        <v>0</v>
      </c>
      <c r="CX53" s="22">
        <f t="shared" si="38"/>
        <v>0</v>
      </c>
      <c r="CY53" s="22">
        <f t="shared" si="38"/>
        <v>0</v>
      </c>
      <c r="CZ53" s="22">
        <f t="shared" si="38"/>
        <v>0</v>
      </c>
      <c r="DA53" s="22">
        <f t="shared" si="38"/>
        <v>0</v>
      </c>
      <c r="DB53" s="22">
        <f t="shared" si="38"/>
        <v>0</v>
      </c>
      <c r="DC53" s="22">
        <f t="shared" si="38"/>
        <v>0</v>
      </c>
      <c r="DD53" s="22">
        <f t="shared" si="38"/>
        <v>0</v>
      </c>
      <c r="DE53" s="22">
        <f t="shared" si="38"/>
        <v>0</v>
      </c>
      <c r="DF53" s="22">
        <f t="shared" si="38"/>
        <v>0</v>
      </c>
      <c r="DG53" s="22">
        <f t="shared" si="38"/>
        <v>0</v>
      </c>
      <c r="DH53" s="22">
        <f t="shared" si="40"/>
        <v>0</v>
      </c>
      <c r="DI53" s="22">
        <f t="shared" si="37"/>
        <v>0</v>
      </c>
      <c r="DJ53" s="22">
        <f t="shared" si="37"/>
        <v>0</v>
      </c>
      <c r="DK53" s="22">
        <f t="shared" si="37"/>
        <v>0</v>
      </c>
      <c r="DM53" s="26">
        <f t="shared" si="26"/>
        <v>130000000</v>
      </c>
      <c r="DN53" s="26">
        <f t="shared" si="27"/>
        <v>130000000</v>
      </c>
      <c r="DO53" s="26">
        <f t="shared" si="28"/>
        <v>130000000</v>
      </c>
    </row>
    <row r="54" spans="1:119" ht="23.25" customHeight="1" x14ac:dyDescent="0.25">
      <c r="A54" s="192"/>
      <c r="B54" s="189"/>
      <c r="C54" s="18" t="s">
        <v>182</v>
      </c>
      <c r="D54" s="19" t="s">
        <v>183</v>
      </c>
      <c r="E54" s="20">
        <v>410</v>
      </c>
      <c r="F54" s="21" t="s">
        <v>107</v>
      </c>
      <c r="G54" s="22">
        <f t="shared" si="29"/>
        <v>12449515</v>
      </c>
      <c r="H54" s="33"/>
      <c r="I54" s="22">
        <f>25000000-12550485</f>
        <v>12449515</v>
      </c>
      <c r="J54" s="33"/>
      <c r="K54" s="33"/>
      <c r="L54" s="33"/>
      <c r="M54" s="33"/>
      <c r="N54" s="33"/>
      <c r="O54" s="33"/>
      <c r="P54" s="33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3">
        <f t="shared" si="1"/>
        <v>1</v>
      </c>
      <c r="AC54" s="22">
        <f t="shared" si="30"/>
        <v>12449515</v>
      </c>
      <c r="AD54" s="22"/>
      <c r="AE54" s="22">
        <f>+'[6]JULIO 2017'!$K$1860</f>
        <v>12449515</v>
      </c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3">
        <f t="shared" si="3"/>
        <v>0</v>
      </c>
      <c r="AY54" s="22">
        <f t="shared" si="31"/>
        <v>0</v>
      </c>
      <c r="AZ54" s="22">
        <f t="shared" si="41"/>
        <v>0</v>
      </c>
      <c r="BA54" s="22">
        <f t="shared" si="41"/>
        <v>0</v>
      </c>
      <c r="BB54" s="22">
        <f t="shared" si="41"/>
        <v>0</v>
      </c>
      <c r="BC54" s="22">
        <f t="shared" si="41"/>
        <v>0</v>
      </c>
      <c r="BD54" s="22">
        <f t="shared" si="41"/>
        <v>0</v>
      </c>
      <c r="BE54" s="22">
        <f t="shared" si="41"/>
        <v>0</v>
      </c>
      <c r="BF54" s="22">
        <f t="shared" si="41"/>
        <v>0</v>
      </c>
      <c r="BG54" s="22">
        <f t="shared" si="41"/>
        <v>0</v>
      </c>
      <c r="BH54" s="22">
        <f t="shared" si="41"/>
        <v>0</v>
      </c>
      <c r="BI54" s="22">
        <f t="shared" si="41"/>
        <v>0</v>
      </c>
      <c r="BJ54" s="22">
        <f t="shared" si="41"/>
        <v>0</v>
      </c>
      <c r="BK54" s="22">
        <f t="shared" si="41"/>
        <v>0</v>
      </c>
      <c r="BL54" s="22">
        <f t="shared" si="41"/>
        <v>0</v>
      </c>
      <c r="BM54" s="22">
        <f t="shared" si="41"/>
        <v>0</v>
      </c>
      <c r="BN54" s="22">
        <f t="shared" si="41"/>
        <v>0</v>
      </c>
      <c r="BO54" s="22">
        <f t="shared" si="39"/>
        <v>0</v>
      </c>
      <c r="BP54" s="22">
        <f t="shared" si="33"/>
        <v>0</v>
      </c>
      <c r="BQ54" s="22">
        <f t="shared" si="33"/>
        <v>0</v>
      </c>
      <c r="BR54" s="22">
        <f t="shared" si="33"/>
        <v>0</v>
      </c>
      <c r="BS54" s="22">
        <f t="shared" si="33"/>
        <v>0</v>
      </c>
      <c r="BT54" s="23">
        <f t="shared" si="7"/>
        <v>0.99999991967558577</v>
      </c>
      <c r="BU54" s="22">
        <f t="shared" si="34"/>
        <v>12449514</v>
      </c>
      <c r="BV54" s="22"/>
      <c r="BW54" s="22">
        <f>+'[6]JULIO 2017'!$H$1858</f>
        <v>12449514</v>
      </c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3">
        <f t="shared" si="9"/>
        <v>8.0324414231114361E-8</v>
      </c>
      <c r="CQ54" s="22">
        <f t="shared" si="35"/>
        <v>1</v>
      </c>
      <c r="CR54" s="22">
        <f t="shared" si="38"/>
        <v>0</v>
      </c>
      <c r="CS54" s="22">
        <f t="shared" si="38"/>
        <v>1</v>
      </c>
      <c r="CT54" s="22">
        <f t="shared" si="38"/>
        <v>0</v>
      </c>
      <c r="CU54" s="22">
        <f t="shared" si="38"/>
        <v>0</v>
      </c>
      <c r="CV54" s="22">
        <f t="shared" si="38"/>
        <v>0</v>
      </c>
      <c r="CW54" s="22">
        <f t="shared" si="38"/>
        <v>0</v>
      </c>
      <c r="CX54" s="22">
        <f t="shared" si="38"/>
        <v>0</v>
      </c>
      <c r="CY54" s="22">
        <f t="shared" si="38"/>
        <v>0</v>
      </c>
      <c r="CZ54" s="22">
        <f t="shared" si="38"/>
        <v>0</v>
      </c>
      <c r="DA54" s="22">
        <f t="shared" si="38"/>
        <v>0</v>
      </c>
      <c r="DB54" s="22">
        <f t="shared" si="38"/>
        <v>0</v>
      </c>
      <c r="DC54" s="22">
        <f t="shared" si="38"/>
        <v>0</v>
      </c>
      <c r="DD54" s="22">
        <f t="shared" si="38"/>
        <v>0</v>
      </c>
      <c r="DE54" s="22">
        <f t="shared" si="38"/>
        <v>0</v>
      </c>
      <c r="DF54" s="22">
        <f t="shared" si="38"/>
        <v>0</v>
      </c>
      <c r="DG54" s="22">
        <f t="shared" si="38"/>
        <v>0</v>
      </c>
      <c r="DH54" s="22">
        <f t="shared" si="40"/>
        <v>0</v>
      </c>
      <c r="DI54" s="22">
        <f t="shared" si="37"/>
        <v>0</v>
      </c>
      <c r="DJ54" s="22">
        <f t="shared" si="37"/>
        <v>0</v>
      </c>
      <c r="DK54" s="22">
        <f t="shared" si="37"/>
        <v>0</v>
      </c>
      <c r="DM54" s="26">
        <f t="shared" si="26"/>
        <v>12449515</v>
      </c>
      <c r="DN54" s="26">
        <f t="shared" si="27"/>
        <v>12449515</v>
      </c>
      <c r="DO54" s="26">
        <f t="shared" si="28"/>
        <v>12449515</v>
      </c>
    </row>
    <row r="55" spans="1:119" ht="35.25" customHeight="1" x14ac:dyDescent="0.25">
      <c r="A55" s="192"/>
      <c r="B55" s="189"/>
      <c r="C55" s="18" t="s">
        <v>184</v>
      </c>
      <c r="D55" s="19" t="s">
        <v>185</v>
      </c>
      <c r="E55" s="20">
        <v>410</v>
      </c>
      <c r="F55" s="21" t="s">
        <v>107</v>
      </c>
      <c r="G55" s="22">
        <f t="shared" si="29"/>
        <v>104817975</v>
      </c>
      <c r="H55" s="33"/>
      <c r="I55" s="22">
        <f>25000000+12550485</f>
        <v>37550485</v>
      </c>
      <c r="J55" s="33"/>
      <c r="K55" s="22">
        <f>127267490-60000000</f>
        <v>67267490</v>
      </c>
      <c r="L55" s="33"/>
      <c r="M55" s="33"/>
      <c r="N55" s="33"/>
      <c r="O55" s="33"/>
      <c r="P55" s="33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3">
        <f t="shared" si="1"/>
        <v>1</v>
      </c>
      <c r="AC55" s="22">
        <f t="shared" si="30"/>
        <v>104817975</v>
      </c>
      <c r="AD55" s="22"/>
      <c r="AE55" s="22">
        <f>+'[6]JULIO 2017'!$K$1870</f>
        <v>37550485</v>
      </c>
      <c r="AF55" s="22"/>
      <c r="AG55" s="22">
        <f>+'[6]JULIO 2017'!$L$1870</f>
        <v>67267490</v>
      </c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3">
        <f t="shared" si="3"/>
        <v>0</v>
      </c>
      <c r="AY55" s="22">
        <f t="shared" si="31"/>
        <v>0</v>
      </c>
      <c r="AZ55" s="22">
        <f t="shared" si="41"/>
        <v>0</v>
      </c>
      <c r="BA55" s="22">
        <f t="shared" si="41"/>
        <v>0</v>
      </c>
      <c r="BB55" s="22">
        <f t="shared" si="41"/>
        <v>0</v>
      </c>
      <c r="BC55" s="22">
        <f t="shared" si="41"/>
        <v>0</v>
      </c>
      <c r="BD55" s="22">
        <f t="shared" si="41"/>
        <v>0</v>
      </c>
      <c r="BE55" s="22">
        <f t="shared" si="41"/>
        <v>0</v>
      </c>
      <c r="BF55" s="22">
        <f t="shared" si="41"/>
        <v>0</v>
      </c>
      <c r="BG55" s="22">
        <f t="shared" si="41"/>
        <v>0</v>
      </c>
      <c r="BH55" s="22">
        <f t="shared" si="41"/>
        <v>0</v>
      </c>
      <c r="BI55" s="22">
        <f t="shared" si="41"/>
        <v>0</v>
      </c>
      <c r="BJ55" s="22">
        <f t="shared" si="41"/>
        <v>0</v>
      </c>
      <c r="BK55" s="22">
        <f t="shared" si="41"/>
        <v>0</v>
      </c>
      <c r="BL55" s="22">
        <f t="shared" si="41"/>
        <v>0</v>
      </c>
      <c r="BM55" s="22">
        <f t="shared" si="41"/>
        <v>0</v>
      </c>
      <c r="BN55" s="22">
        <f t="shared" si="41"/>
        <v>0</v>
      </c>
      <c r="BO55" s="22">
        <f t="shared" si="39"/>
        <v>0</v>
      </c>
      <c r="BP55" s="22">
        <f t="shared" si="33"/>
        <v>0</v>
      </c>
      <c r="BQ55" s="22">
        <f t="shared" si="33"/>
        <v>0</v>
      </c>
      <c r="BR55" s="22">
        <f t="shared" si="33"/>
        <v>0</v>
      </c>
      <c r="BS55" s="22">
        <f t="shared" si="33"/>
        <v>0</v>
      </c>
      <c r="BT55" s="23">
        <f t="shared" si="7"/>
        <v>0.99383916737563383</v>
      </c>
      <c r="BU55" s="22">
        <f t="shared" si="34"/>
        <v>104172209</v>
      </c>
      <c r="BV55" s="22"/>
      <c r="BW55" s="22">
        <f>+'[5]AGOSTO 2017'!$H$2166+'[5]AGOSTO 2017'!$H$2192</f>
        <v>36904719</v>
      </c>
      <c r="BX55" s="22"/>
      <c r="BY55" s="22">
        <f>+'[5]AGOSTO 2017'!$H$2163-BW55</f>
        <v>67267490</v>
      </c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3">
        <f t="shared" si="9"/>
        <v>6.1608326243661748E-3</v>
      </c>
      <c r="CQ55" s="22">
        <f t="shared" si="35"/>
        <v>645766</v>
      </c>
      <c r="CR55" s="22">
        <f t="shared" si="38"/>
        <v>0</v>
      </c>
      <c r="CS55" s="22">
        <f t="shared" si="38"/>
        <v>645766</v>
      </c>
      <c r="CT55" s="22">
        <f t="shared" si="38"/>
        <v>0</v>
      </c>
      <c r="CU55" s="22">
        <f t="shared" si="38"/>
        <v>0</v>
      </c>
      <c r="CV55" s="22">
        <f t="shared" si="38"/>
        <v>0</v>
      </c>
      <c r="CW55" s="22">
        <f t="shared" si="38"/>
        <v>0</v>
      </c>
      <c r="CX55" s="22">
        <f t="shared" si="38"/>
        <v>0</v>
      </c>
      <c r="CY55" s="22">
        <f t="shared" si="38"/>
        <v>0</v>
      </c>
      <c r="CZ55" s="22">
        <f t="shared" si="38"/>
        <v>0</v>
      </c>
      <c r="DA55" s="22">
        <f t="shared" si="38"/>
        <v>0</v>
      </c>
      <c r="DB55" s="22">
        <f t="shared" si="38"/>
        <v>0</v>
      </c>
      <c r="DC55" s="22">
        <f t="shared" si="38"/>
        <v>0</v>
      </c>
      <c r="DD55" s="22">
        <f t="shared" si="38"/>
        <v>0</v>
      </c>
      <c r="DE55" s="22">
        <f t="shared" si="38"/>
        <v>0</v>
      </c>
      <c r="DF55" s="22">
        <f t="shared" si="38"/>
        <v>0</v>
      </c>
      <c r="DG55" s="22">
        <f t="shared" si="38"/>
        <v>0</v>
      </c>
      <c r="DH55" s="22">
        <f t="shared" si="40"/>
        <v>0</v>
      </c>
      <c r="DI55" s="22">
        <f t="shared" si="37"/>
        <v>0</v>
      </c>
      <c r="DJ55" s="22">
        <f t="shared" si="37"/>
        <v>0</v>
      </c>
      <c r="DK55" s="22">
        <f t="shared" si="37"/>
        <v>0</v>
      </c>
      <c r="DM55" s="26">
        <f t="shared" si="26"/>
        <v>104817975</v>
      </c>
      <c r="DN55" s="26">
        <f t="shared" si="27"/>
        <v>104817975</v>
      </c>
      <c r="DO55" s="26">
        <f t="shared" si="28"/>
        <v>104817975</v>
      </c>
    </row>
    <row r="56" spans="1:119" ht="35.25" customHeight="1" x14ac:dyDescent="0.25">
      <c r="A56" s="196"/>
      <c r="B56" s="190"/>
      <c r="C56" s="18" t="s">
        <v>186</v>
      </c>
      <c r="D56" s="19" t="s">
        <v>187</v>
      </c>
      <c r="E56" s="20">
        <v>410</v>
      </c>
      <c r="F56" s="21" t="s">
        <v>188</v>
      </c>
      <c r="G56" s="22">
        <f t="shared" si="29"/>
        <v>25000000</v>
      </c>
      <c r="H56" s="33"/>
      <c r="I56" s="33"/>
      <c r="J56" s="33"/>
      <c r="K56" s="33"/>
      <c r="L56" s="33"/>
      <c r="M56" s="33"/>
      <c r="N56" s="33"/>
      <c r="O56" s="33"/>
      <c r="P56" s="33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>
        <f>20000000+5000000</f>
        <v>25000000</v>
      </c>
      <c r="AB56" s="23">
        <f t="shared" si="1"/>
        <v>0.90666667999999995</v>
      </c>
      <c r="AC56" s="22">
        <f t="shared" si="30"/>
        <v>22666667</v>
      </c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>
        <f>+'[6]JULIO 2017'!$AC$1903</f>
        <v>22666667</v>
      </c>
      <c r="AX56" s="23">
        <f t="shared" si="3"/>
        <v>9.3333320000000053E-2</v>
      </c>
      <c r="AY56" s="22">
        <f t="shared" si="31"/>
        <v>2333333</v>
      </c>
      <c r="AZ56" s="22">
        <f t="shared" si="41"/>
        <v>0</v>
      </c>
      <c r="BA56" s="22">
        <f t="shared" si="41"/>
        <v>0</v>
      </c>
      <c r="BB56" s="22">
        <f t="shared" si="41"/>
        <v>0</v>
      </c>
      <c r="BC56" s="22">
        <f t="shared" si="41"/>
        <v>0</v>
      </c>
      <c r="BD56" s="22">
        <f t="shared" si="41"/>
        <v>0</v>
      </c>
      <c r="BE56" s="22">
        <f t="shared" si="41"/>
        <v>0</v>
      </c>
      <c r="BF56" s="22">
        <f t="shared" si="41"/>
        <v>0</v>
      </c>
      <c r="BG56" s="22">
        <f t="shared" si="41"/>
        <v>0</v>
      </c>
      <c r="BH56" s="22">
        <f t="shared" si="41"/>
        <v>0</v>
      </c>
      <c r="BI56" s="22">
        <f t="shared" si="41"/>
        <v>0</v>
      </c>
      <c r="BJ56" s="22">
        <f t="shared" si="41"/>
        <v>0</v>
      </c>
      <c r="BK56" s="22">
        <f t="shared" si="41"/>
        <v>0</v>
      </c>
      <c r="BL56" s="22">
        <f t="shared" si="41"/>
        <v>0</v>
      </c>
      <c r="BM56" s="22">
        <f t="shared" si="41"/>
        <v>0</v>
      </c>
      <c r="BN56" s="22">
        <f t="shared" si="41"/>
        <v>0</v>
      </c>
      <c r="BO56" s="22">
        <f t="shared" si="39"/>
        <v>0</v>
      </c>
      <c r="BP56" s="22">
        <f t="shared" si="33"/>
        <v>0</v>
      </c>
      <c r="BQ56" s="22">
        <f t="shared" si="33"/>
        <v>0</v>
      </c>
      <c r="BR56" s="22">
        <f t="shared" si="33"/>
        <v>0</v>
      </c>
      <c r="BS56" s="22">
        <f t="shared" si="33"/>
        <v>2333333</v>
      </c>
      <c r="BT56" s="23">
        <f t="shared" si="7"/>
        <v>0.85066668000000001</v>
      </c>
      <c r="BU56" s="22">
        <f t="shared" si="34"/>
        <v>21266667</v>
      </c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>
        <f>+'[6]JULIO 2017'!$H$1901</f>
        <v>21266667</v>
      </c>
      <c r="CP56" s="23">
        <f t="shared" si="9"/>
        <v>0.14933331999999999</v>
      </c>
      <c r="CQ56" s="22">
        <f t="shared" si="35"/>
        <v>3733333</v>
      </c>
      <c r="CR56" s="22">
        <f t="shared" si="38"/>
        <v>0</v>
      </c>
      <c r="CS56" s="22">
        <f t="shared" si="38"/>
        <v>0</v>
      </c>
      <c r="CT56" s="22">
        <f t="shared" si="38"/>
        <v>0</v>
      </c>
      <c r="CU56" s="22">
        <f t="shared" si="38"/>
        <v>0</v>
      </c>
      <c r="CV56" s="22">
        <f t="shared" si="38"/>
        <v>0</v>
      </c>
      <c r="CW56" s="22">
        <f t="shared" si="38"/>
        <v>0</v>
      </c>
      <c r="CX56" s="22">
        <f t="shared" si="38"/>
        <v>0</v>
      </c>
      <c r="CY56" s="22">
        <f t="shared" si="38"/>
        <v>0</v>
      </c>
      <c r="CZ56" s="22">
        <f t="shared" si="38"/>
        <v>0</v>
      </c>
      <c r="DA56" s="22">
        <f t="shared" si="38"/>
        <v>0</v>
      </c>
      <c r="DB56" s="22">
        <f t="shared" si="38"/>
        <v>0</v>
      </c>
      <c r="DC56" s="22">
        <f t="shared" si="38"/>
        <v>0</v>
      </c>
      <c r="DD56" s="22">
        <f t="shared" si="38"/>
        <v>0</v>
      </c>
      <c r="DE56" s="22">
        <f t="shared" si="38"/>
        <v>0</v>
      </c>
      <c r="DF56" s="22">
        <f t="shared" si="38"/>
        <v>0</v>
      </c>
      <c r="DG56" s="22">
        <f t="shared" si="38"/>
        <v>0</v>
      </c>
      <c r="DH56" s="22">
        <f t="shared" si="40"/>
        <v>0</v>
      </c>
      <c r="DI56" s="22">
        <f t="shared" si="37"/>
        <v>0</v>
      </c>
      <c r="DJ56" s="22">
        <f t="shared" si="37"/>
        <v>0</v>
      </c>
      <c r="DK56" s="22">
        <f t="shared" si="37"/>
        <v>3733333</v>
      </c>
      <c r="DM56" s="26">
        <f t="shared" si="26"/>
        <v>25000000</v>
      </c>
      <c r="DN56" s="26">
        <f t="shared" si="27"/>
        <v>25000000</v>
      </c>
      <c r="DO56" s="26">
        <f t="shared" si="28"/>
        <v>25000000</v>
      </c>
    </row>
    <row r="57" spans="1:119" s="47" customFormat="1" ht="22.5" customHeight="1" thickBot="1" x14ac:dyDescent="0.3">
      <c r="A57" s="60"/>
      <c r="B57" s="197" t="s">
        <v>189</v>
      </c>
      <c r="C57" s="197"/>
      <c r="D57" s="197"/>
      <c r="E57" s="197"/>
      <c r="F57" s="61"/>
      <c r="G57" s="62">
        <f t="shared" ref="G57:N57" si="42">SUM(G25:G56)</f>
        <v>7127077871</v>
      </c>
      <c r="H57" s="62">
        <f t="shared" si="42"/>
        <v>0</v>
      </c>
      <c r="I57" s="62">
        <f t="shared" si="42"/>
        <v>500000000</v>
      </c>
      <c r="J57" s="62">
        <f t="shared" si="42"/>
        <v>2550000000</v>
      </c>
      <c r="K57" s="62">
        <f t="shared" si="42"/>
        <v>234297558</v>
      </c>
      <c r="L57" s="62">
        <f t="shared" si="42"/>
        <v>0</v>
      </c>
      <c r="M57" s="62">
        <f t="shared" si="42"/>
        <v>0</v>
      </c>
      <c r="N57" s="62">
        <f t="shared" si="42"/>
        <v>0</v>
      </c>
      <c r="O57" s="62">
        <f t="shared" ref="O57:AA57" si="43">SUM(O25:O56)</f>
        <v>0</v>
      </c>
      <c r="P57" s="62">
        <f t="shared" si="43"/>
        <v>0</v>
      </c>
      <c r="Q57" s="62">
        <f t="shared" si="43"/>
        <v>0</v>
      </c>
      <c r="R57" s="62">
        <f t="shared" si="43"/>
        <v>0</v>
      </c>
      <c r="S57" s="62">
        <f t="shared" si="43"/>
        <v>3157557814</v>
      </c>
      <c r="T57" s="62">
        <f t="shared" si="43"/>
        <v>0</v>
      </c>
      <c r="U57" s="62">
        <f t="shared" si="43"/>
        <v>0</v>
      </c>
      <c r="V57" s="62">
        <f t="shared" si="43"/>
        <v>427275758</v>
      </c>
      <c r="W57" s="62">
        <f t="shared" si="43"/>
        <v>0</v>
      </c>
      <c r="X57" s="62">
        <f t="shared" si="43"/>
        <v>119946741</v>
      </c>
      <c r="Y57" s="62">
        <f t="shared" si="43"/>
        <v>0</v>
      </c>
      <c r="Z57" s="62">
        <f t="shared" si="43"/>
        <v>0</v>
      </c>
      <c r="AA57" s="62">
        <f t="shared" si="43"/>
        <v>138000000</v>
      </c>
      <c r="AB57" s="46">
        <f t="shared" si="1"/>
        <v>0.78588342899838648</v>
      </c>
      <c r="AC57" s="62">
        <f t="shared" ref="AC57:AW57" si="44">SUM(AC25:AC56)</f>
        <v>5601052396</v>
      </c>
      <c r="AD57" s="62">
        <f t="shared" si="44"/>
        <v>0</v>
      </c>
      <c r="AE57" s="62">
        <f t="shared" si="44"/>
        <v>471762012</v>
      </c>
      <c r="AF57" s="62">
        <f t="shared" si="44"/>
        <v>2209904030</v>
      </c>
      <c r="AG57" s="62">
        <f t="shared" si="44"/>
        <v>209836688</v>
      </c>
      <c r="AH57" s="62">
        <f t="shared" si="44"/>
        <v>0</v>
      </c>
      <c r="AI57" s="62">
        <f t="shared" si="44"/>
        <v>0</v>
      </c>
      <c r="AJ57" s="62">
        <f t="shared" si="44"/>
        <v>0</v>
      </c>
      <c r="AK57" s="62">
        <f t="shared" si="44"/>
        <v>0</v>
      </c>
      <c r="AL57" s="62">
        <f t="shared" si="44"/>
        <v>0</v>
      </c>
      <c r="AM57" s="62">
        <f t="shared" si="44"/>
        <v>0</v>
      </c>
      <c r="AN57" s="62">
        <f t="shared" si="44"/>
        <v>0</v>
      </c>
      <c r="AO57" s="62">
        <f t="shared" si="44"/>
        <v>2170553330</v>
      </c>
      <c r="AP57" s="62">
        <f t="shared" si="44"/>
        <v>0</v>
      </c>
      <c r="AQ57" s="62">
        <f t="shared" si="44"/>
        <v>0</v>
      </c>
      <c r="AR57" s="62">
        <f t="shared" si="44"/>
        <v>329664409</v>
      </c>
      <c r="AS57" s="62">
        <f t="shared" si="44"/>
        <v>0</v>
      </c>
      <c r="AT57" s="62">
        <f t="shared" si="44"/>
        <v>119946741</v>
      </c>
      <c r="AU57" s="62">
        <f t="shared" si="44"/>
        <v>0</v>
      </c>
      <c r="AV57" s="62">
        <f t="shared" si="44"/>
        <v>0</v>
      </c>
      <c r="AW57" s="62">
        <f t="shared" si="44"/>
        <v>89385186</v>
      </c>
      <c r="AX57" s="46">
        <f t="shared" si="3"/>
        <v>0.21411657100161352</v>
      </c>
      <c r="AY57" s="62">
        <f t="shared" ref="AY57:BS57" si="45">SUM(AY25:AY56)</f>
        <v>1526025475</v>
      </c>
      <c r="AZ57" s="62">
        <f t="shared" si="45"/>
        <v>0</v>
      </c>
      <c r="BA57" s="62">
        <f t="shared" si="45"/>
        <v>28237988</v>
      </c>
      <c r="BB57" s="62">
        <f t="shared" si="45"/>
        <v>340095970</v>
      </c>
      <c r="BC57" s="62">
        <f t="shared" si="45"/>
        <v>24460870</v>
      </c>
      <c r="BD57" s="62">
        <f t="shared" si="45"/>
        <v>0</v>
      </c>
      <c r="BE57" s="62">
        <f t="shared" si="45"/>
        <v>0</v>
      </c>
      <c r="BF57" s="62">
        <f t="shared" si="45"/>
        <v>0</v>
      </c>
      <c r="BG57" s="62">
        <f t="shared" si="45"/>
        <v>0</v>
      </c>
      <c r="BH57" s="62">
        <f t="shared" si="45"/>
        <v>0</v>
      </c>
      <c r="BI57" s="62">
        <f t="shared" si="45"/>
        <v>0</v>
      </c>
      <c r="BJ57" s="62">
        <f t="shared" si="45"/>
        <v>0</v>
      </c>
      <c r="BK57" s="62">
        <f t="shared" si="45"/>
        <v>987004484</v>
      </c>
      <c r="BL57" s="62">
        <f t="shared" si="45"/>
        <v>0</v>
      </c>
      <c r="BM57" s="62">
        <f t="shared" si="45"/>
        <v>0</v>
      </c>
      <c r="BN57" s="62">
        <f t="shared" si="45"/>
        <v>97611349</v>
      </c>
      <c r="BO57" s="62">
        <f t="shared" si="45"/>
        <v>0</v>
      </c>
      <c r="BP57" s="62">
        <f t="shared" si="45"/>
        <v>0</v>
      </c>
      <c r="BQ57" s="62">
        <f t="shared" si="45"/>
        <v>0</v>
      </c>
      <c r="BR57" s="62">
        <f t="shared" si="45"/>
        <v>0</v>
      </c>
      <c r="BS57" s="62">
        <f t="shared" si="45"/>
        <v>48614814</v>
      </c>
      <c r="BT57" s="46">
        <f t="shared" si="7"/>
        <v>0.63066378863197914</v>
      </c>
      <c r="BU57" s="62">
        <f t="shared" ref="BU57:DK57" si="46">SUM(BU25:BU56)</f>
        <v>4494789932</v>
      </c>
      <c r="BV57" s="62">
        <f t="shared" si="46"/>
        <v>0</v>
      </c>
      <c r="BW57" s="62">
        <f t="shared" si="46"/>
        <v>439799797</v>
      </c>
      <c r="BX57" s="62">
        <f t="shared" si="46"/>
        <v>1672311308</v>
      </c>
      <c r="BY57" s="62">
        <f t="shared" si="46"/>
        <v>209836688</v>
      </c>
      <c r="BZ57" s="62">
        <f t="shared" si="46"/>
        <v>0</v>
      </c>
      <c r="CA57" s="62">
        <f t="shared" si="46"/>
        <v>0</v>
      </c>
      <c r="CB57" s="62">
        <f t="shared" si="46"/>
        <v>0</v>
      </c>
      <c r="CC57" s="62">
        <f t="shared" si="46"/>
        <v>0</v>
      </c>
      <c r="CD57" s="62">
        <f t="shared" si="46"/>
        <v>0</v>
      </c>
      <c r="CE57" s="62">
        <f t="shared" si="46"/>
        <v>0</v>
      </c>
      <c r="CF57" s="62">
        <f t="shared" si="46"/>
        <v>0</v>
      </c>
      <c r="CG57" s="62">
        <f t="shared" si="46"/>
        <v>1903657930</v>
      </c>
      <c r="CH57" s="62">
        <f t="shared" si="46"/>
        <v>0</v>
      </c>
      <c r="CI57" s="62">
        <f t="shared" si="46"/>
        <v>0</v>
      </c>
      <c r="CJ57" s="62">
        <f t="shared" si="46"/>
        <v>140434345</v>
      </c>
      <c r="CK57" s="62">
        <f t="shared" si="46"/>
        <v>0</v>
      </c>
      <c r="CL57" s="62">
        <f t="shared" si="46"/>
        <v>44864678</v>
      </c>
      <c r="CM57" s="62">
        <f t="shared" si="46"/>
        <v>0</v>
      </c>
      <c r="CN57" s="62">
        <f t="shared" si="46"/>
        <v>0</v>
      </c>
      <c r="CO57" s="62">
        <f t="shared" si="46"/>
        <v>83885186</v>
      </c>
      <c r="CP57" s="44">
        <f t="shared" si="9"/>
        <v>0.36933621136802086</v>
      </c>
      <c r="CQ57" s="62">
        <f t="shared" si="46"/>
        <v>2632287939</v>
      </c>
      <c r="CR57" s="62">
        <f t="shared" si="46"/>
        <v>0</v>
      </c>
      <c r="CS57" s="62">
        <f t="shared" si="46"/>
        <v>60200203</v>
      </c>
      <c r="CT57" s="62">
        <f t="shared" si="46"/>
        <v>877688692</v>
      </c>
      <c r="CU57" s="62">
        <f t="shared" si="46"/>
        <v>24460870</v>
      </c>
      <c r="CV57" s="62">
        <f t="shared" si="46"/>
        <v>0</v>
      </c>
      <c r="CW57" s="62">
        <f t="shared" si="46"/>
        <v>0</v>
      </c>
      <c r="CX57" s="62">
        <f t="shared" si="46"/>
        <v>0</v>
      </c>
      <c r="CY57" s="62">
        <f t="shared" si="46"/>
        <v>0</v>
      </c>
      <c r="CZ57" s="62">
        <f t="shared" si="46"/>
        <v>0</v>
      </c>
      <c r="DA57" s="62">
        <f t="shared" si="46"/>
        <v>0</v>
      </c>
      <c r="DB57" s="62">
        <f t="shared" si="46"/>
        <v>0</v>
      </c>
      <c r="DC57" s="62">
        <f t="shared" si="46"/>
        <v>1253899884</v>
      </c>
      <c r="DD57" s="62">
        <f t="shared" si="46"/>
        <v>0</v>
      </c>
      <c r="DE57" s="62">
        <f t="shared" si="46"/>
        <v>0</v>
      </c>
      <c r="DF57" s="62">
        <f t="shared" si="46"/>
        <v>286841413</v>
      </c>
      <c r="DG57" s="62">
        <f t="shared" si="46"/>
        <v>0</v>
      </c>
      <c r="DH57" s="62">
        <f t="shared" si="46"/>
        <v>75082063</v>
      </c>
      <c r="DI57" s="62">
        <f t="shared" si="46"/>
        <v>0</v>
      </c>
      <c r="DJ57" s="62">
        <f t="shared" si="46"/>
        <v>0</v>
      </c>
      <c r="DK57" s="62">
        <f t="shared" si="46"/>
        <v>54114814</v>
      </c>
      <c r="DM57" s="26">
        <f t="shared" si="26"/>
        <v>7127077871</v>
      </c>
      <c r="DN57" s="26">
        <f t="shared" si="27"/>
        <v>7127077871</v>
      </c>
      <c r="DO57" s="26">
        <f t="shared" si="28"/>
        <v>7127077871</v>
      </c>
    </row>
    <row r="58" spans="1:119" ht="62.25" customHeight="1" thickTop="1" x14ac:dyDescent="0.25">
      <c r="A58" s="198" t="s">
        <v>190</v>
      </c>
      <c r="B58" s="191" t="s">
        <v>191</v>
      </c>
      <c r="C58" s="30" t="s">
        <v>192</v>
      </c>
      <c r="D58" s="19" t="s">
        <v>193</v>
      </c>
      <c r="E58" s="20">
        <v>520</v>
      </c>
      <c r="F58" s="21" t="s">
        <v>194</v>
      </c>
      <c r="G58" s="22">
        <f t="shared" ref="G58:G78" si="47">SUM(H58:AA58)</f>
        <v>175000000</v>
      </c>
      <c r="H58" s="22"/>
      <c r="I58" s="22">
        <v>100000000</v>
      </c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>
        <f>62000000+1000000+5000000+2000000+5000000</f>
        <v>75000000</v>
      </c>
      <c r="AB58" s="23">
        <f t="shared" si="1"/>
        <v>0.83731680571428568</v>
      </c>
      <c r="AC58" s="22">
        <f>SUM(AD58:AW58)</f>
        <v>146530441</v>
      </c>
      <c r="AD58" s="22"/>
      <c r="AE58" s="22">
        <f>+'[3]JUNIO 2017'!$K$1709</f>
        <v>99997584</v>
      </c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>
        <f>+'[5]AGOSTO 2017'!$AC$2705</f>
        <v>46532857</v>
      </c>
      <c r="AX58" s="23">
        <f t="shared" si="3"/>
        <v>0.16268319428571432</v>
      </c>
      <c r="AY58" s="22">
        <f t="shared" ref="AY58:AY78" si="48">SUM(AZ58:BS58)</f>
        <v>28469559</v>
      </c>
      <c r="AZ58" s="22">
        <f>H58-AD58</f>
        <v>0</v>
      </c>
      <c r="BA58" s="22">
        <f t="shared" ref="BA58:BP74" si="49">I58-AE58</f>
        <v>2416</v>
      </c>
      <c r="BB58" s="22">
        <f t="shared" si="49"/>
        <v>0</v>
      </c>
      <c r="BC58" s="22">
        <f t="shared" si="49"/>
        <v>0</v>
      </c>
      <c r="BD58" s="22">
        <f t="shared" si="49"/>
        <v>0</v>
      </c>
      <c r="BE58" s="22">
        <f t="shared" si="49"/>
        <v>0</v>
      </c>
      <c r="BF58" s="22">
        <f t="shared" si="49"/>
        <v>0</v>
      </c>
      <c r="BG58" s="22">
        <f t="shared" si="49"/>
        <v>0</v>
      </c>
      <c r="BH58" s="22">
        <f t="shared" si="49"/>
        <v>0</v>
      </c>
      <c r="BI58" s="22">
        <f t="shared" si="49"/>
        <v>0</v>
      </c>
      <c r="BJ58" s="22">
        <f t="shared" si="49"/>
        <v>0</v>
      </c>
      <c r="BK58" s="22">
        <f t="shared" si="49"/>
        <v>0</v>
      </c>
      <c r="BL58" s="22">
        <f t="shared" si="49"/>
        <v>0</v>
      </c>
      <c r="BM58" s="22">
        <f t="shared" si="49"/>
        <v>0</v>
      </c>
      <c r="BN58" s="22">
        <f t="shared" si="49"/>
        <v>0</v>
      </c>
      <c r="BO58" s="22">
        <f t="shared" si="49"/>
        <v>0</v>
      </c>
      <c r="BP58" s="22">
        <f t="shared" si="49"/>
        <v>0</v>
      </c>
      <c r="BQ58" s="22">
        <f t="shared" ref="BQ58:BS78" si="50">Y58-AU58</f>
        <v>0</v>
      </c>
      <c r="BR58" s="22">
        <f t="shared" si="50"/>
        <v>0</v>
      </c>
      <c r="BS58" s="22">
        <f t="shared" si="50"/>
        <v>28467143</v>
      </c>
      <c r="BT58" s="23">
        <f t="shared" si="7"/>
        <v>0.83663109142857139</v>
      </c>
      <c r="BU58" s="22">
        <f t="shared" ref="BU58:BU78" si="51">SUM(BV58:CO58)</f>
        <v>146410441</v>
      </c>
      <c r="BV58" s="22"/>
      <c r="BW58" s="22">
        <f>+'[5]AGOSTO 2017'!$K$2705</f>
        <v>99997584</v>
      </c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>
        <f>+'[5]AGOSTO 2017'!$H$2703-BW58</f>
        <v>46412857</v>
      </c>
      <c r="CP58" s="23">
        <f t="shared" si="9"/>
        <v>0.16336890857142861</v>
      </c>
      <c r="CQ58" s="22">
        <f t="shared" ref="CQ58:CQ78" si="52">SUM(CR58:DK58)</f>
        <v>28589559</v>
      </c>
      <c r="CR58" s="22">
        <f>H58-BV58</f>
        <v>0</v>
      </c>
      <c r="CS58" s="22">
        <f t="shared" ref="CS58:DH74" si="53">I58-BW58</f>
        <v>2416</v>
      </c>
      <c r="CT58" s="22">
        <f t="shared" si="53"/>
        <v>0</v>
      </c>
      <c r="CU58" s="22">
        <f t="shared" si="53"/>
        <v>0</v>
      </c>
      <c r="CV58" s="22">
        <f t="shared" si="53"/>
        <v>0</v>
      </c>
      <c r="CW58" s="22">
        <f t="shared" si="53"/>
        <v>0</v>
      </c>
      <c r="CX58" s="22">
        <f t="shared" si="53"/>
        <v>0</v>
      </c>
      <c r="CY58" s="22">
        <f t="shared" si="53"/>
        <v>0</v>
      </c>
      <c r="CZ58" s="22">
        <f t="shared" si="53"/>
        <v>0</v>
      </c>
      <c r="DA58" s="22">
        <f t="shared" si="53"/>
        <v>0</v>
      </c>
      <c r="DB58" s="22">
        <f t="shared" si="53"/>
        <v>0</v>
      </c>
      <c r="DC58" s="22">
        <f t="shared" si="53"/>
        <v>0</v>
      </c>
      <c r="DD58" s="22">
        <f t="shared" si="53"/>
        <v>0</v>
      </c>
      <c r="DE58" s="22">
        <f t="shared" si="53"/>
        <v>0</v>
      </c>
      <c r="DF58" s="22">
        <f t="shared" si="53"/>
        <v>0</v>
      </c>
      <c r="DG58" s="22">
        <f t="shared" si="53"/>
        <v>0</v>
      </c>
      <c r="DH58" s="22">
        <f t="shared" si="53"/>
        <v>0</v>
      </c>
      <c r="DI58" s="22">
        <f t="shared" ref="DI58:DK78" si="54">Y58-CM58</f>
        <v>0</v>
      </c>
      <c r="DJ58" s="22">
        <f t="shared" si="54"/>
        <v>0</v>
      </c>
      <c r="DK58" s="22">
        <f t="shared" si="54"/>
        <v>28587143</v>
      </c>
      <c r="DM58" s="26">
        <f t="shared" si="26"/>
        <v>175000000</v>
      </c>
      <c r="DN58" s="26">
        <f t="shared" si="27"/>
        <v>175000000</v>
      </c>
      <c r="DO58" s="26">
        <f t="shared" si="28"/>
        <v>175000000</v>
      </c>
    </row>
    <row r="59" spans="1:119" ht="33.75" x14ac:dyDescent="0.25">
      <c r="A59" s="199"/>
      <c r="B59" s="189"/>
      <c r="C59" s="30" t="s">
        <v>195</v>
      </c>
      <c r="D59" s="19" t="s">
        <v>196</v>
      </c>
      <c r="E59" s="20">
        <v>520</v>
      </c>
      <c r="F59" s="63" t="s">
        <v>197</v>
      </c>
      <c r="G59" s="22">
        <f t="shared" si="47"/>
        <v>0</v>
      </c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>
        <f>7000000-5000000-2000000</f>
        <v>0</v>
      </c>
      <c r="AB59" s="23" t="e">
        <f t="shared" si="1"/>
        <v>#DIV/0!</v>
      </c>
      <c r="AC59" s="22">
        <f>SUM(AD59:AW59)</f>
        <v>0</v>
      </c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3" t="e">
        <f t="shared" si="3"/>
        <v>#DIV/0!</v>
      </c>
      <c r="AY59" s="22">
        <f t="shared" si="48"/>
        <v>0</v>
      </c>
      <c r="AZ59" s="22">
        <f t="shared" ref="AZ59:BO78" si="55">H59-AD59</f>
        <v>0</v>
      </c>
      <c r="BA59" s="22">
        <f t="shared" si="49"/>
        <v>0</v>
      </c>
      <c r="BB59" s="22">
        <f t="shared" si="49"/>
        <v>0</v>
      </c>
      <c r="BC59" s="22">
        <f t="shared" si="49"/>
        <v>0</v>
      </c>
      <c r="BD59" s="22">
        <f t="shared" si="49"/>
        <v>0</v>
      </c>
      <c r="BE59" s="22">
        <f t="shared" si="49"/>
        <v>0</v>
      </c>
      <c r="BF59" s="22">
        <f t="shared" si="49"/>
        <v>0</v>
      </c>
      <c r="BG59" s="22">
        <f t="shared" si="49"/>
        <v>0</v>
      </c>
      <c r="BH59" s="22">
        <f t="shared" si="49"/>
        <v>0</v>
      </c>
      <c r="BI59" s="22">
        <f t="shared" si="49"/>
        <v>0</v>
      </c>
      <c r="BJ59" s="22">
        <f t="shared" si="49"/>
        <v>0</v>
      </c>
      <c r="BK59" s="22">
        <f t="shared" si="49"/>
        <v>0</v>
      </c>
      <c r="BL59" s="22">
        <f t="shared" si="49"/>
        <v>0</v>
      </c>
      <c r="BM59" s="22">
        <f t="shared" si="49"/>
        <v>0</v>
      </c>
      <c r="BN59" s="22">
        <f t="shared" si="49"/>
        <v>0</v>
      </c>
      <c r="BO59" s="22">
        <f t="shared" si="49"/>
        <v>0</v>
      </c>
      <c r="BP59" s="22">
        <f t="shared" si="49"/>
        <v>0</v>
      </c>
      <c r="BQ59" s="22">
        <f t="shared" si="50"/>
        <v>0</v>
      </c>
      <c r="BR59" s="22">
        <f t="shared" si="50"/>
        <v>0</v>
      </c>
      <c r="BS59" s="22">
        <f t="shared" si="50"/>
        <v>0</v>
      </c>
      <c r="BT59" s="23" t="e">
        <f t="shared" si="7"/>
        <v>#DIV/0!</v>
      </c>
      <c r="BU59" s="22">
        <f t="shared" si="51"/>
        <v>0</v>
      </c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3" t="e">
        <f t="shared" si="9"/>
        <v>#DIV/0!</v>
      </c>
      <c r="CQ59" s="22">
        <f t="shared" si="52"/>
        <v>0</v>
      </c>
      <c r="CR59" s="22">
        <f t="shared" ref="CR59:DG78" si="56">H59-BV59</f>
        <v>0</v>
      </c>
      <c r="CS59" s="22">
        <f t="shared" si="53"/>
        <v>0</v>
      </c>
      <c r="CT59" s="22">
        <f t="shared" si="53"/>
        <v>0</v>
      </c>
      <c r="CU59" s="22">
        <f t="shared" si="53"/>
        <v>0</v>
      </c>
      <c r="CV59" s="22">
        <f t="shared" si="53"/>
        <v>0</v>
      </c>
      <c r="CW59" s="22">
        <f t="shared" si="53"/>
        <v>0</v>
      </c>
      <c r="CX59" s="22">
        <f t="shared" si="53"/>
        <v>0</v>
      </c>
      <c r="CY59" s="22">
        <f t="shared" si="53"/>
        <v>0</v>
      </c>
      <c r="CZ59" s="22">
        <f t="shared" si="53"/>
        <v>0</v>
      </c>
      <c r="DA59" s="22">
        <f t="shared" si="53"/>
        <v>0</v>
      </c>
      <c r="DB59" s="22">
        <f t="shared" si="53"/>
        <v>0</v>
      </c>
      <c r="DC59" s="22">
        <f t="shared" si="53"/>
        <v>0</v>
      </c>
      <c r="DD59" s="22">
        <f t="shared" si="53"/>
        <v>0</v>
      </c>
      <c r="DE59" s="22">
        <f t="shared" si="53"/>
        <v>0</v>
      </c>
      <c r="DF59" s="22">
        <f t="shared" si="53"/>
        <v>0</v>
      </c>
      <c r="DG59" s="22">
        <f t="shared" si="53"/>
        <v>0</v>
      </c>
      <c r="DH59" s="22">
        <f t="shared" si="53"/>
        <v>0</v>
      </c>
      <c r="DI59" s="22">
        <f t="shared" si="54"/>
        <v>0</v>
      </c>
      <c r="DJ59" s="22">
        <f t="shared" si="54"/>
        <v>0</v>
      </c>
      <c r="DK59" s="22">
        <f t="shared" si="54"/>
        <v>0</v>
      </c>
      <c r="DM59" s="26">
        <f t="shared" si="26"/>
        <v>0</v>
      </c>
      <c r="DN59" s="26">
        <f t="shared" si="27"/>
        <v>0</v>
      </c>
      <c r="DO59" s="26">
        <f t="shared" si="28"/>
        <v>0</v>
      </c>
    </row>
    <row r="60" spans="1:119" ht="47.25" customHeight="1" x14ac:dyDescent="0.25">
      <c r="A60" s="199"/>
      <c r="B60" s="190"/>
      <c r="C60" s="30" t="s">
        <v>198</v>
      </c>
      <c r="D60" s="19" t="s">
        <v>199</v>
      </c>
      <c r="E60" s="20">
        <v>520</v>
      </c>
      <c r="F60" s="21" t="s">
        <v>200</v>
      </c>
      <c r="G60" s="22">
        <f t="shared" si="47"/>
        <v>6000000</v>
      </c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>
        <f>2000000+4000000</f>
        <v>6000000</v>
      </c>
      <c r="AB60" s="23">
        <f t="shared" si="1"/>
        <v>0.11666666666666667</v>
      </c>
      <c r="AC60" s="22">
        <f t="shared" ref="AC60:AC78" si="57">SUM(AD60:AW60)</f>
        <v>700000</v>
      </c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>
        <f>+'[8]ABRIL 2017'!$G$1288</f>
        <v>700000</v>
      </c>
      <c r="AX60" s="23">
        <f t="shared" si="3"/>
        <v>0.8833333333333333</v>
      </c>
      <c r="AY60" s="22">
        <f t="shared" si="48"/>
        <v>5300000</v>
      </c>
      <c r="AZ60" s="22">
        <f t="shared" si="55"/>
        <v>0</v>
      </c>
      <c r="BA60" s="22">
        <f t="shared" si="49"/>
        <v>0</v>
      </c>
      <c r="BB60" s="22">
        <f t="shared" si="49"/>
        <v>0</v>
      </c>
      <c r="BC60" s="22">
        <f t="shared" si="49"/>
        <v>0</v>
      </c>
      <c r="BD60" s="22">
        <f t="shared" si="49"/>
        <v>0</v>
      </c>
      <c r="BE60" s="22">
        <f t="shared" si="49"/>
        <v>0</v>
      </c>
      <c r="BF60" s="22">
        <f t="shared" si="49"/>
        <v>0</v>
      </c>
      <c r="BG60" s="22">
        <f t="shared" si="49"/>
        <v>0</v>
      </c>
      <c r="BH60" s="22">
        <f t="shared" si="49"/>
        <v>0</v>
      </c>
      <c r="BI60" s="22">
        <f t="shared" si="49"/>
        <v>0</v>
      </c>
      <c r="BJ60" s="22">
        <f t="shared" si="49"/>
        <v>0</v>
      </c>
      <c r="BK60" s="22">
        <f t="shared" si="49"/>
        <v>0</v>
      </c>
      <c r="BL60" s="22">
        <f t="shared" si="49"/>
        <v>0</v>
      </c>
      <c r="BM60" s="22">
        <f t="shared" si="49"/>
        <v>0</v>
      </c>
      <c r="BN60" s="22">
        <f t="shared" si="49"/>
        <v>0</v>
      </c>
      <c r="BO60" s="22">
        <f t="shared" si="49"/>
        <v>0</v>
      </c>
      <c r="BP60" s="22">
        <f t="shared" si="49"/>
        <v>0</v>
      </c>
      <c r="BQ60" s="22">
        <f t="shared" si="50"/>
        <v>0</v>
      </c>
      <c r="BR60" s="22">
        <f t="shared" si="50"/>
        <v>0</v>
      </c>
      <c r="BS60" s="22">
        <f t="shared" si="50"/>
        <v>5300000</v>
      </c>
      <c r="BT60" s="23">
        <f t="shared" si="7"/>
        <v>0.11666666666666667</v>
      </c>
      <c r="BU60" s="22">
        <f t="shared" si="51"/>
        <v>700000</v>
      </c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>
        <f>+'[8]ABRIL 2017'!$H$1288</f>
        <v>700000</v>
      </c>
      <c r="CP60" s="23">
        <f t="shared" si="9"/>
        <v>0.8833333333333333</v>
      </c>
      <c r="CQ60" s="22">
        <f t="shared" si="52"/>
        <v>5300000</v>
      </c>
      <c r="CR60" s="22">
        <f t="shared" si="56"/>
        <v>0</v>
      </c>
      <c r="CS60" s="22">
        <f t="shared" si="53"/>
        <v>0</v>
      </c>
      <c r="CT60" s="22">
        <f t="shared" si="53"/>
        <v>0</v>
      </c>
      <c r="CU60" s="22">
        <f t="shared" si="53"/>
        <v>0</v>
      </c>
      <c r="CV60" s="22">
        <f t="shared" si="53"/>
        <v>0</v>
      </c>
      <c r="CW60" s="22">
        <f t="shared" si="53"/>
        <v>0</v>
      </c>
      <c r="CX60" s="22">
        <f t="shared" si="53"/>
        <v>0</v>
      </c>
      <c r="CY60" s="22">
        <f t="shared" si="53"/>
        <v>0</v>
      </c>
      <c r="CZ60" s="22">
        <f t="shared" si="53"/>
        <v>0</v>
      </c>
      <c r="DA60" s="22">
        <f t="shared" si="53"/>
        <v>0</v>
      </c>
      <c r="DB60" s="22">
        <f t="shared" si="53"/>
        <v>0</v>
      </c>
      <c r="DC60" s="22">
        <f t="shared" si="53"/>
        <v>0</v>
      </c>
      <c r="DD60" s="22">
        <f t="shared" si="53"/>
        <v>0</v>
      </c>
      <c r="DE60" s="22">
        <f t="shared" si="53"/>
        <v>0</v>
      </c>
      <c r="DF60" s="22">
        <f t="shared" si="53"/>
        <v>0</v>
      </c>
      <c r="DG60" s="22">
        <f t="shared" si="53"/>
        <v>0</v>
      </c>
      <c r="DH60" s="22">
        <f t="shared" si="53"/>
        <v>0</v>
      </c>
      <c r="DI60" s="22">
        <f t="shared" si="54"/>
        <v>0</v>
      </c>
      <c r="DJ60" s="22">
        <f t="shared" si="54"/>
        <v>0</v>
      </c>
      <c r="DK60" s="22">
        <f t="shared" si="54"/>
        <v>5300000</v>
      </c>
      <c r="DM60" s="26">
        <f t="shared" si="26"/>
        <v>6000000</v>
      </c>
      <c r="DN60" s="26">
        <f t="shared" si="27"/>
        <v>6000000</v>
      </c>
      <c r="DO60" s="26">
        <f t="shared" si="28"/>
        <v>6000000</v>
      </c>
    </row>
    <row r="61" spans="1:119" ht="34.5" customHeight="1" x14ac:dyDescent="0.25">
      <c r="A61" s="199"/>
      <c r="B61" s="64" t="s">
        <v>201</v>
      </c>
      <c r="C61" s="30" t="s">
        <v>202</v>
      </c>
      <c r="D61" s="19" t="s">
        <v>203</v>
      </c>
      <c r="E61" s="20">
        <v>520</v>
      </c>
      <c r="F61" s="21" t="s">
        <v>204</v>
      </c>
      <c r="G61" s="22">
        <f t="shared" si="47"/>
        <v>70000000</v>
      </c>
      <c r="H61" s="22"/>
      <c r="I61" s="22">
        <v>20000000</v>
      </c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>
        <f>10000000+30000000+10000000</f>
        <v>50000000</v>
      </c>
      <c r="W61" s="22"/>
      <c r="X61" s="22"/>
      <c r="Y61" s="22"/>
      <c r="Z61" s="22"/>
      <c r="AA61" s="22">
        <f>4826876-4826876</f>
        <v>0</v>
      </c>
      <c r="AB61" s="23">
        <f t="shared" si="1"/>
        <v>0.60077199999999997</v>
      </c>
      <c r="AC61" s="22">
        <f t="shared" si="57"/>
        <v>42054040</v>
      </c>
      <c r="AD61" s="22"/>
      <c r="AE61" s="22">
        <f>+'[8]ABRIL 2017'!$K$1297</f>
        <v>20000000</v>
      </c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>
        <f>+'[5]AGOSTO 2017'!$X$2785</f>
        <v>22054040</v>
      </c>
      <c r="AS61" s="22"/>
      <c r="AT61" s="22"/>
      <c r="AU61" s="22"/>
      <c r="AV61" s="22"/>
      <c r="AW61" s="22"/>
      <c r="AX61" s="23">
        <f t="shared" si="3"/>
        <v>0.39922800000000003</v>
      </c>
      <c r="AY61" s="22">
        <f t="shared" si="48"/>
        <v>27945960</v>
      </c>
      <c r="AZ61" s="22">
        <f t="shared" si="55"/>
        <v>0</v>
      </c>
      <c r="BA61" s="22">
        <f t="shared" si="49"/>
        <v>0</v>
      </c>
      <c r="BB61" s="22">
        <f t="shared" si="49"/>
        <v>0</v>
      </c>
      <c r="BC61" s="22">
        <f t="shared" si="49"/>
        <v>0</v>
      </c>
      <c r="BD61" s="22">
        <f t="shared" si="49"/>
        <v>0</v>
      </c>
      <c r="BE61" s="22">
        <f t="shared" si="49"/>
        <v>0</v>
      </c>
      <c r="BF61" s="22">
        <f t="shared" si="49"/>
        <v>0</v>
      </c>
      <c r="BG61" s="22">
        <f t="shared" si="49"/>
        <v>0</v>
      </c>
      <c r="BH61" s="22">
        <f t="shared" si="49"/>
        <v>0</v>
      </c>
      <c r="BI61" s="22">
        <f t="shared" si="49"/>
        <v>0</v>
      </c>
      <c r="BJ61" s="22">
        <f t="shared" si="49"/>
        <v>0</v>
      </c>
      <c r="BK61" s="22">
        <f t="shared" si="49"/>
        <v>0</v>
      </c>
      <c r="BL61" s="22">
        <f t="shared" si="49"/>
        <v>0</v>
      </c>
      <c r="BM61" s="22">
        <f t="shared" si="49"/>
        <v>0</v>
      </c>
      <c r="BN61" s="22">
        <f t="shared" si="49"/>
        <v>27945960</v>
      </c>
      <c r="BO61" s="22">
        <f t="shared" si="49"/>
        <v>0</v>
      </c>
      <c r="BP61" s="22">
        <f t="shared" si="49"/>
        <v>0</v>
      </c>
      <c r="BQ61" s="22">
        <f t="shared" si="50"/>
        <v>0</v>
      </c>
      <c r="BR61" s="22">
        <f t="shared" si="50"/>
        <v>0</v>
      </c>
      <c r="BS61" s="22">
        <f t="shared" si="50"/>
        <v>0</v>
      </c>
      <c r="BT61" s="23">
        <f t="shared" si="7"/>
        <v>0.60077199999999997</v>
      </c>
      <c r="BU61" s="22">
        <f t="shared" si="51"/>
        <v>42054040</v>
      </c>
      <c r="BV61" s="22"/>
      <c r="BW61" s="22">
        <f>+'[4]MAYO 2017'!$H$1506+'[4]MAYO 2017'!$H$1509+'[4]MAYO 2017'!$H$1523</f>
        <v>20000000</v>
      </c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>
        <f>+'[5]AGOSTO 2017'!$H$2783-BW61</f>
        <v>22054040</v>
      </c>
      <c r="CK61" s="22"/>
      <c r="CL61" s="22"/>
      <c r="CM61" s="22"/>
      <c r="CN61" s="22"/>
      <c r="CO61" s="22"/>
      <c r="CP61" s="23">
        <f t="shared" si="9"/>
        <v>0.39922800000000003</v>
      </c>
      <c r="CQ61" s="22">
        <f t="shared" si="52"/>
        <v>27945960</v>
      </c>
      <c r="CR61" s="22">
        <f t="shared" si="56"/>
        <v>0</v>
      </c>
      <c r="CS61" s="22">
        <f t="shared" si="53"/>
        <v>0</v>
      </c>
      <c r="CT61" s="22">
        <f t="shared" si="53"/>
        <v>0</v>
      </c>
      <c r="CU61" s="22">
        <f t="shared" si="53"/>
        <v>0</v>
      </c>
      <c r="CV61" s="22">
        <f t="shared" si="53"/>
        <v>0</v>
      </c>
      <c r="CW61" s="22">
        <f t="shared" si="53"/>
        <v>0</v>
      </c>
      <c r="CX61" s="22">
        <f t="shared" si="53"/>
        <v>0</v>
      </c>
      <c r="CY61" s="22">
        <f t="shared" si="53"/>
        <v>0</v>
      </c>
      <c r="CZ61" s="22">
        <f t="shared" si="53"/>
        <v>0</v>
      </c>
      <c r="DA61" s="22">
        <f t="shared" si="53"/>
        <v>0</v>
      </c>
      <c r="DB61" s="22">
        <f t="shared" si="53"/>
        <v>0</v>
      </c>
      <c r="DC61" s="22">
        <f t="shared" si="53"/>
        <v>0</v>
      </c>
      <c r="DD61" s="22">
        <f t="shared" si="53"/>
        <v>0</v>
      </c>
      <c r="DE61" s="22">
        <f t="shared" si="53"/>
        <v>0</v>
      </c>
      <c r="DF61" s="22">
        <f t="shared" si="53"/>
        <v>27945960</v>
      </c>
      <c r="DG61" s="22">
        <f t="shared" si="53"/>
        <v>0</v>
      </c>
      <c r="DH61" s="22">
        <f t="shared" si="53"/>
        <v>0</v>
      </c>
      <c r="DI61" s="22">
        <f t="shared" si="54"/>
        <v>0</v>
      </c>
      <c r="DJ61" s="22">
        <f t="shared" si="54"/>
        <v>0</v>
      </c>
      <c r="DK61" s="22">
        <f t="shared" si="54"/>
        <v>0</v>
      </c>
      <c r="DM61" s="26">
        <f t="shared" si="26"/>
        <v>70000000</v>
      </c>
      <c r="DN61" s="26">
        <f t="shared" si="27"/>
        <v>70000000</v>
      </c>
      <c r="DO61" s="26">
        <f t="shared" si="28"/>
        <v>70000000</v>
      </c>
    </row>
    <row r="62" spans="1:119" ht="36.75" customHeight="1" x14ac:dyDescent="0.25">
      <c r="A62" s="199"/>
      <c r="B62" s="191" t="s">
        <v>205</v>
      </c>
      <c r="C62" s="30" t="s">
        <v>206</v>
      </c>
      <c r="D62" s="19" t="s">
        <v>207</v>
      </c>
      <c r="E62" s="20">
        <v>520</v>
      </c>
      <c r="F62" s="21" t="s">
        <v>107</v>
      </c>
      <c r="G62" s="22">
        <f t="shared" si="47"/>
        <v>20000000</v>
      </c>
      <c r="H62" s="33"/>
      <c r="I62" s="33"/>
      <c r="J62" s="33"/>
      <c r="K62" s="33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>
        <f>130000000-110000000</f>
        <v>20000000</v>
      </c>
      <c r="W62" s="22"/>
      <c r="X62" s="22"/>
      <c r="Y62" s="22"/>
      <c r="Z62" s="22"/>
      <c r="AA62" s="22"/>
      <c r="AB62" s="23">
        <f t="shared" si="1"/>
        <v>1</v>
      </c>
      <c r="AC62" s="22">
        <f t="shared" si="57"/>
        <v>20000000</v>
      </c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>
        <f>+'[2]FEBRERO 2017'!$X$1124</f>
        <v>20000000</v>
      </c>
      <c r="AS62" s="22"/>
      <c r="AT62" s="22"/>
      <c r="AU62" s="22"/>
      <c r="AV62" s="22"/>
      <c r="AW62" s="22"/>
      <c r="AX62" s="23">
        <f t="shared" si="3"/>
        <v>0</v>
      </c>
      <c r="AY62" s="22">
        <f t="shared" si="48"/>
        <v>0</v>
      </c>
      <c r="AZ62" s="22">
        <f t="shared" si="55"/>
        <v>0</v>
      </c>
      <c r="BA62" s="22">
        <f t="shared" si="49"/>
        <v>0</v>
      </c>
      <c r="BB62" s="22">
        <f t="shared" si="49"/>
        <v>0</v>
      </c>
      <c r="BC62" s="22">
        <f t="shared" si="49"/>
        <v>0</v>
      </c>
      <c r="BD62" s="22">
        <f t="shared" si="49"/>
        <v>0</v>
      </c>
      <c r="BE62" s="22">
        <f t="shared" si="49"/>
        <v>0</v>
      </c>
      <c r="BF62" s="22">
        <f t="shared" si="49"/>
        <v>0</v>
      </c>
      <c r="BG62" s="22">
        <f t="shared" si="49"/>
        <v>0</v>
      </c>
      <c r="BH62" s="22">
        <f t="shared" si="49"/>
        <v>0</v>
      </c>
      <c r="BI62" s="22">
        <f t="shared" si="49"/>
        <v>0</v>
      </c>
      <c r="BJ62" s="22">
        <f t="shared" si="49"/>
        <v>0</v>
      </c>
      <c r="BK62" s="22">
        <f t="shared" si="49"/>
        <v>0</v>
      </c>
      <c r="BL62" s="22">
        <f t="shared" si="49"/>
        <v>0</v>
      </c>
      <c r="BM62" s="22">
        <f t="shared" si="49"/>
        <v>0</v>
      </c>
      <c r="BN62" s="22">
        <f t="shared" si="49"/>
        <v>0</v>
      </c>
      <c r="BO62" s="22">
        <f t="shared" si="49"/>
        <v>0</v>
      </c>
      <c r="BP62" s="22">
        <f t="shared" si="49"/>
        <v>0</v>
      </c>
      <c r="BQ62" s="22">
        <f t="shared" si="50"/>
        <v>0</v>
      </c>
      <c r="BR62" s="22">
        <f t="shared" si="50"/>
        <v>0</v>
      </c>
      <c r="BS62" s="22">
        <f t="shared" si="50"/>
        <v>0</v>
      </c>
      <c r="BT62" s="23">
        <f t="shared" si="7"/>
        <v>0.60764359999999995</v>
      </c>
      <c r="BU62" s="22">
        <f t="shared" si="51"/>
        <v>12152872</v>
      </c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>
        <f>+'[5]AGOSTO 2017'!$H$2829</f>
        <v>12152872</v>
      </c>
      <c r="CK62" s="22"/>
      <c r="CL62" s="22"/>
      <c r="CM62" s="22"/>
      <c r="CN62" s="22"/>
      <c r="CO62" s="22"/>
      <c r="CP62" s="23">
        <f t="shared" si="9"/>
        <v>0.39235640000000005</v>
      </c>
      <c r="CQ62" s="22">
        <f t="shared" si="52"/>
        <v>7847128</v>
      </c>
      <c r="CR62" s="22">
        <f t="shared" si="56"/>
        <v>0</v>
      </c>
      <c r="CS62" s="22">
        <f t="shared" si="53"/>
        <v>0</v>
      </c>
      <c r="CT62" s="22">
        <f t="shared" si="53"/>
        <v>0</v>
      </c>
      <c r="CU62" s="22">
        <f t="shared" si="53"/>
        <v>0</v>
      </c>
      <c r="CV62" s="22">
        <f t="shared" si="53"/>
        <v>0</v>
      </c>
      <c r="CW62" s="22">
        <f t="shared" si="53"/>
        <v>0</v>
      </c>
      <c r="CX62" s="22">
        <f t="shared" si="53"/>
        <v>0</v>
      </c>
      <c r="CY62" s="22">
        <f t="shared" si="53"/>
        <v>0</v>
      </c>
      <c r="CZ62" s="22">
        <f t="shared" si="53"/>
        <v>0</v>
      </c>
      <c r="DA62" s="22">
        <f t="shared" si="53"/>
        <v>0</v>
      </c>
      <c r="DB62" s="22">
        <f t="shared" si="53"/>
        <v>0</v>
      </c>
      <c r="DC62" s="22">
        <f t="shared" si="53"/>
        <v>0</v>
      </c>
      <c r="DD62" s="22">
        <f t="shared" si="53"/>
        <v>0</v>
      </c>
      <c r="DE62" s="22">
        <f t="shared" si="53"/>
        <v>0</v>
      </c>
      <c r="DF62" s="22">
        <f t="shared" si="53"/>
        <v>7847128</v>
      </c>
      <c r="DG62" s="22">
        <f t="shared" si="53"/>
        <v>0</v>
      </c>
      <c r="DH62" s="22">
        <f t="shared" si="53"/>
        <v>0</v>
      </c>
      <c r="DI62" s="22">
        <f t="shared" si="54"/>
        <v>0</v>
      </c>
      <c r="DJ62" s="22">
        <f t="shared" si="54"/>
        <v>0</v>
      </c>
      <c r="DK62" s="22">
        <f t="shared" si="54"/>
        <v>0</v>
      </c>
      <c r="DM62" s="26">
        <f t="shared" si="26"/>
        <v>20000000</v>
      </c>
      <c r="DN62" s="26">
        <f t="shared" si="27"/>
        <v>20000000</v>
      </c>
      <c r="DO62" s="26">
        <f t="shared" si="28"/>
        <v>20000000</v>
      </c>
    </row>
    <row r="63" spans="1:119" ht="33.75" customHeight="1" x14ac:dyDescent="0.25">
      <c r="A63" s="199"/>
      <c r="B63" s="189"/>
      <c r="C63" s="30" t="s">
        <v>208</v>
      </c>
      <c r="D63" s="19" t="s">
        <v>209</v>
      </c>
      <c r="E63" s="20">
        <v>520</v>
      </c>
      <c r="F63" s="21" t="s">
        <v>112</v>
      </c>
      <c r="G63" s="22">
        <f t="shared" si="47"/>
        <v>1030432040</v>
      </c>
      <c r="H63" s="49"/>
      <c r="I63" s="33"/>
      <c r="J63" s="33"/>
      <c r="K63" s="33"/>
      <c r="L63" s="22"/>
      <c r="M63" s="22"/>
      <c r="N63" s="22"/>
      <c r="O63" s="22"/>
      <c r="P63" s="22"/>
      <c r="Q63" s="22"/>
      <c r="R63" s="22"/>
      <c r="S63" s="22">
        <f>1000000000+18432040</f>
        <v>1018432040</v>
      </c>
      <c r="T63" s="22"/>
      <c r="U63" s="22"/>
      <c r="V63" s="22"/>
      <c r="W63" s="22"/>
      <c r="X63" s="22"/>
      <c r="Y63" s="22"/>
      <c r="Z63" s="22"/>
      <c r="AA63" s="22">
        <f>12000000</f>
        <v>12000000</v>
      </c>
      <c r="AB63" s="23">
        <f t="shared" si="1"/>
        <v>0.75768793058880424</v>
      </c>
      <c r="AC63" s="22">
        <f t="shared" si="57"/>
        <v>780745920</v>
      </c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>
        <f>+'[4]MAYO 2017'!$U$1546</f>
        <v>780745920</v>
      </c>
      <c r="AP63" s="22"/>
      <c r="AQ63" s="22"/>
      <c r="AR63" s="22"/>
      <c r="AS63" s="22"/>
      <c r="AT63" s="22"/>
      <c r="AU63" s="22"/>
      <c r="AV63" s="22"/>
      <c r="AW63" s="22"/>
      <c r="AX63" s="23">
        <f t="shared" si="3"/>
        <v>0.24231206941119576</v>
      </c>
      <c r="AY63" s="22">
        <f t="shared" si="48"/>
        <v>249686120</v>
      </c>
      <c r="AZ63" s="22">
        <f t="shared" si="55"/>
        <v>0</v>
      </c>
      <c r="BA63" s="22">
        <f t="shared" si="49"/>
        <v>0</v>
      </c>
      <c r="BB63" s="22">
        <f t="shared" si="49"/>
        <v>0</v>
      </c>
      <c r="BC63" s="22">
        <f t="shared" si="49"/>
        <v>0</v>
      </c>
      <c r="BD63" s="22">
        <f t="shared" si="49"/>
        <v>0</v>
      </c>
      <c r="BE63" s="22">
        <f t="shared" si="49"/>
        <v>0</v>
      </c>
      <c r="BF63" s="22">
        <f t="shared" si="49"/>
        <v>0</v>
      </c>
      <c r="BG63" s="22">
        <f t="shared" si="49"/>
        <v>0</v>
      </c>
      <c r="BH63" s="22">
        <f t="shared" si="49"/>
        <v>0</v>
      </c>
      <c r="BI63" s="22">
        <f t="shared" si="49"/>
        <v>0</v>
      </c>
      <c r="BJ63" s="22">
        <f t="shared" si="49"/>
        <v>0</v>
      </c>
      <c r="BK63" s="22">
        <f t="shared" si="49"/>
        <v>237686120</v>
      </c>
      <c r="BL63" s="22">
        <f t="shared" si="49"/>
        <v>0</v>
      </c>
      <c r="BM63" s="22">
        <f t="shared" si="49"/>
        <v>0</v>
      </c>
      <c r="BN63" s="22">
        <f t="shared" si="49"/>
        <v>0</v>
      </c>
      <c r="BO63" s="22">
        <f t="shared" si="49"/>
        <v>0</v>
      </c>
      <c r="BP63" s="22">
        <f t="shared" si="49"/>
        <v>0</v>
      </c>
      <c r="BQ63" s="22">
        <f t="shared" si="50"/>
        <v>0</v>
      </c>
      <c r="BR63" s="22">
        <f t="shared" si="50"/>
        <v>0</v>
      </c>
      <c r="BS63" s="22">
        <f t="shared" si="50"/>
        <v>12000000</v>
      </c>
      <c r="BT63" s="23">
        <f t="shared" si="7"/>
        <v>0.75366372730413156</v>
      </c>
      <c r="BU63" s="22">
        <f t="shared" si="51"/>
        <v>776599252</v>
      </c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>
        <f>+'[5]AGOSTO 2017'!$H$2840</f>
        <v>776599252</v>
      </c>
      <c r="CH63" s="22"/>
      <c r="CI63" s="22"/>
      <c r="CJ63" s="22"/>
      <c r="CK63" s="22"/>
      <c r="CL63" s="22"/>
      <c r="CM63" s="22"/>
      <c r="CN63" s="22"/>
      <c r="CO63" s="22"/>
      <c r="CP63" s="23">
        <f t="shared" si="9"/>
        <v>0.24633627269586844</v>
      </c>
      <c r="CQ63" s="22">
        <f t="shared" si="52"/>
        <v>253832788</v>
      </c>
      <c r="CR63" s="22">
        <f t="shared" si="56"/>
        <v>0</v>
      </c>
      <c r="CS63" s="22">
        <f t="shared" si="53"/>
        <v>0</v>
      </c>
      <c r="CT63" s="22">
        <f t="shared" si="53"/>
        <v>0</v>
      </c>
      <c r="CU63" s="22">
        <f t="shared" si="53"/>
        <v>0</v>
      </c>
      <c r="CV63" s="22">
        <f t="shared" si="53"/>
        <v>0</v>
      </c>
      <c r="CW63" s="22">
        <f t="shared" si="53"/>
        <v>0</v>
      </c>
      <c r="CX63" s="22">
        <f t="shared" si="53"/>
        <v>0</v>
      </c>
      <c r="CY63" s="22">
        <f t="shared" si="53"/>
        <v>0</v>
      </c>
      <c r="CZ63" s="22">
        <f t="shared" si="53"/>
        <v>0</v>
      </c>
      <c r="DA63" s="22">
        <f t="shared" si="53"/>
        <v>0</v>
      </c>
      <c r="DB63" s="22">
        <f t="shared" si="53"/>
        <v>0</v>
      </c>
      <c r="DC63" s="22">
        <f t="shared" si="53"/>
        <v>241832788</v>
      </c>
      <c r="DD63" s="22">
        <f t="shared" si="53"/>
        <v>0</v>
      </c>
      <c r="DE63" s="22">
        <f t="shared" si="53"/>
        <v>0</v>
      </c>
      <c r="DF63" s="22">
        <f t="shared" si="53"/>
        <v>0</v>
      </c>
      <c r="DG63" s="22">
        <f t="shared" si="53"/>
        <v>0</v>
      </c>
      <c r="DH63" s="22">
        <f t="shared" si="53"/>
        <v>0</v>
      </c>
      <c r="DI63" s="22">
        <f t="shared" si="54"/>
        <v>0</v>
      </c>
      <c r="DJ63" s="22">
        <f t="shared" si="54"/>
        <v>0</v>
      </c>
      <c r="DK63" s="22">
        <f t="shared" si="54"/>
        <v>12000000</v>
      </c>
      <c r="DM63" s="26">
        <f t="shared" si="26"/>
        <v>1030432040</v>
      </c>
      <c r="DN63" s="26">
        <f t="shared" si="27"/>
        <v>1030432040</v>
      </c>
      <c r="DO63" s="26">
        <f t="shared" si="28"/>
        <v>1030432040</v>
      </c>
    </row>
    <row r="64" spans="1:119" ht="53.25" customHeight="1" x14ac:dyDescent="0.25">
      <c r="A64" s="199"/>
      <c r="B64" s="189"/>
      <c r="C64" s="30" t="s">
        <v>210</v>
      </c>
      <c r="D64" s="19" t="s">
        <v>211</v>
      </c>
      <c r="E64" s="20">
        <v>520</v>
      </c>
      <c r="F64" s="21" t="s">
        <v>212</v>
      </c>
      <c r="G64" s="22">
        <f t="shared" si="47"/>
        <v>205000000</v>
      </c>
      <c r="H64" s="33"/>
      <c r="I64" s="33"/>
      <c r="J64" s="33"/>
      <c r="K64" s="33"/>
      <c r="L64" s="33"/>
      <c r="M64" s="22"/>
      <c r="N64" s="22"/>
      <c r="O64" s="22"/>
      <c r="P64" s="22"/>
      <c r="Q64" s="22"/>
      <c r="R64" s="22"/>
      <c r="S64" s="22"/>
      <c r="T64" s="22"/>
      <c r="U64" s="22"/>
      <c r="V64" s="22">
        <f>50000000+110000000</f>
        <v>160000000</v>
      </c>
      <c r="W64" s="22"/>
      <c r="X64" s="22"/>
      <c r="Y64" s="22"/>
      <c r="Z64" s="22"/>
      <c r="AA64" s="22">
        <f>44000000+1000000</f>
        <v>45000000</v>
      </c>
      <c r="AB64" s="23">
        <f t="shared" si="1"/>
        <v>0.96002014146341463</v>
      </c>
      <c r="AC64" s="22">
        <f t="shared" si="57"/>
        <v>196804129</v>
      </c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>
        <f>+'[3]JUNIO 2017'!$X$1898</f>
        <v>158593999</v>
      </c>
      <c r="AS64" s="22"/>
      <c r="AT64" s="22"/>
      <c r="AU64" s="22"/>
      <c r="AV64" s="22"/>
      <c r="AW64" s="22">
        <f>+'[5]AGOSTO 2017'!$AC$2911</f>
        <v>38210130</v>
      </c>
      <c r="AX64" s="23">
        <f t="shared" si="3"/>
        <v>3.9979858536585366E-2</v>
      </c>
      <c r="AY64" s="22">
        <f t="shared" si="48"/>
        <v>8195871</v>
      </c>
      <c r="AZ64" s="22">
        <f t="shared" si="55"/>
        <v>0</v>
      </c>
      <c r="BA64" s="22">
        <f t="shared" si="49"/>
        <v>0</v>
      </c>
      <c r="BB64" s="22">
        <f t="shared" si="49"/>
        <v>0</v>
      </c>
      <c r="BC64" s="22">
        <f t="shared" si="49"/>
        <v>0</v>
      </c>
      <c r="BD64" s="22">
        <f t="shared" si="49"/>
        <v>0</v>
      </c>
      <c r="BE64" s="22">
        <f t="shared" si="49"/>
        <v>0</v>
      </c>
      <c r="BF64" s="22">
        <f t="shared" si="49"/>
        <v>0</v>
      </c>
      <c r="BG64" s="22">
        <f t="shared" si="49"/>
        <v>0</v>
      </c>
      <c r="BH64" s="22">
        <f t="shared" si="49"/>
        <v>0</v>
      </c>
      <c r="BI64" s="22">
        <f t="shared" si="49"/>
        <v>0</v>
      </c>
      <c r="BJ64" s="22">
        <f t="shared" si="49"/>
        <v>0</v>
      </c>
      <c r="BK64" s="22">
        <f t="shared" si="49"/>
        <v>0</v>
      </c>
      <c r="BL64" s="22">
        <f t="shared" si="49"/>
        <v>0</v>
      </c>
      <c r="BM64" s="22">
        <f t="shared" si="49"/>
        <v>0</v>
      </c>
      <c r="BN64" s="22">
        <f t="shared" si="49"/>
        <v>1406001</v>
      </c>
      <c r="BO64" s="22">
        <f t="shared" si="49"/>
        <v>0</v>
      </c>
      <c r="BP64" s="22">
        <f t="shared" si="49"/>
        <v>0</v>
      </c>
      <c r="BQ64" s="22">
        <f t="shared" si="50"/>
        <v>0</v>
      </c>
      <c r="BR64" s="22">
        <f t="shared" si="50"/>
        <v>0</v>
      </c>
      <c r="BS64" s="22">
        <f t="shared" si="50"/>
        <v>6789870</v>
      </c>
      <c r="BT64" s="23">
        <f t="shared" si="7"/>
        <v>0.54040107804878046</v>
      </c>
      <c r="BU64" s="22">
        <f t="shared" si="51"/>
        <v>110782221</v>
      </c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>
        <f>+'[5]AGOSTO 2017'!$H$2912+'[5]AGOSTO 2017'!$H$2917+'[5]AGOSTO 2017'!$H$2927+'[5]AGOSTO 2017'!$H$2938+'[5]AGOSTO 2017'!$H$2957+'[5]AGOSTO 2017'!$H$2963+'[5]AGOSTO 2017'!$H$2969+'[5]AGOSTO 2017'!$H$2985+'[5]AGOSTO 2017'!$H$3004+'[5]AGOSTO 2017'!$H$3006+'[5]AGOSTO 2017'!$H$3017+'[5]AGOSTO 2017'!$H$3041+'[5]AGOSTO 2017'!$H$3046</f>
        <v>79031649</v>
      </c>
      <c r="CK64" s="22"/>
      <c r="CL64" s="22"/>
      <c r="CM64" s="22"/>
      <c r="CN64" s="22"/>
      <c r="CO64" s="22">
        <f>+'[5]AGOSTO 2017'!$H$2914+'[5]AGOSTO 2017'!$H$2915+'[5]AGOSTO 2017'!$H$2916+'[5]AGOSTO 2017'!$H$2943+'[5]AGOSTO 2017'!$H$2944+'[5]AGOSTO 2017'!$H$2968+'[5]AGOSTO 2017'!$H$3049+'[5]AGOSTO 2017'!$H$3058+'[5]AGOSTO 2017'!$H$3059+'[5]AGOSTO 2017'!$H$3061+'[5]AGOSTO 2017'!$H$3062+'[5]AGOSTO 2017'!$H$3063+'[5]AGOSTO 2017'!$H$3065+'[5]AGOSTO 2017'!$H$3066+'[5]AGOSTO 2017'!$H$3071+'[5]AGOSTO 2017'!$H$3073+'[5]AGOSTO 2017'!$H$3075+'[5]AGOSTO 2017'!$H$3076</f>
        <v>31750572</v>
      </c>
      <c r="CP64" s="23">
        <f t="shared" si="9"/>
        <v>0.45959892195121954</v>
      </c>
      <c r="CQ64" s="22">
        <f t="shared" si="52"/>
        <v>94217779</v>
      </c>
      <c r="CR64" s="22">
        <f t="shared" si="56"/>
        <v>0</v>
      </c>
      <c r="CS64" s="22">
        <f t="shared" si="53"/>
        <v>0</v>
      </c>
      <c r="CT64" s="22">
        <f t="shared" si="53"/>
        <v>0</v>
      </c>
      <c r="CU64" s="22">
        <f t="shared" si="53"/>
        <v>0</v>
      </c>
      <c r="CV64" s="22">
        <f t="shared" si="53"/>
        <v>0</v>
      </c>
      <c r="CW64" s="22">
        <f t="shared" si="53"/>
        <v>0</v>
      </c>
      <c r="CX64" s="22">
        <f t="shared" si="53"/>
        <v>0</v>
      </c>
      <c r="CY64" s="22">
        <f t="shared" si="53"/>
        <v>0</v>
      </c>
      <c r="CZ64" s="22">
        <f t="shared" si="53"/>
        <v>0</v>
      </c>
      <c r="DA64" s="22">
        <f t="shared" si="53"/>
        <v>0</v>
      </c>
      <c r="DB64" s="22">
        <f t="shared" si="53"/>
        <v>0</v>
      </c>
      <c r="DC64" s="22">
        <f t="shared" si="53"/>
        <v>0</v>
      </c>
      <c r="DD64" s="22">
        <f t="shared" si="53"/>
        <v>0</v>
      </c>
      <c r="DE64" s="22">
        <f t="shared" si="53"/>
        <v>0</v>
      </c>
      <c r="DF64" s="22">
        <f t="shared" si="53"/>
        <v>80968351</v>
      </c>
      <c r="DG64" s="22">
        <f t="shared" si="53"/>
        <v>0</v>
      </c>
      <c r="DH64" s="22">
        <f t="shared" si="53"/>
        <v>0</v>
      </c>
      <c r="DI64" s="22">
        <f t="shared" si="54"/>
        <v>0</v>
      </c>
      <c r="DJ64" s="22">
        <f t="shared" si="54"/>
        <v>0</v>
      </c>
      <c r="DK64" s="22">
        <f t="shared" si="54"/>
        <v>13249428</v>
      </c>
      <c r="DM64" s="26">
        <f t="shared" si="26"/>
        <v>205000000</v>
      </c>
      <c r="DN64" s="26">
        <f t="shared" si="27"/>
        <v>205000000</v>
      </c>
      <c r="DO64" s="26">
        <f t="shared" si="28"/>
        <v>205000000</v>
      </c>
    </row>
    <row r="65" spans="1:120" ht="34.5" customHeight="1" x14ac:dyDescent="0.25">
      <c r="A65" s="199"/>
      <c r="B65" s="189"/>
      <c r="C65" s="30" t="s">
        <v>213</v>
      </c>
      <c r="D65" s="19" t="s">
        <v>214</v>
      </c>
      <c r="E65" s="20">
        <v>520</v>
      </c>
      <c r="F65" s="21" t="s">
        <v>204</v>
      </c>
      <c r="G65" s="22">
        <f t="shared" si="47"/>
        <v>14500000</v>
      </c>
      <c r="H65" s="33"/>
      <c r="I65" s="33"/>
      <c r="J65" s="33"/>
      <c r="K65" s="33"/>
      <c r="L65" s="33"/>
      <c r="M65" s="22"/>
      <c r="N65" s="22"/>
      <c r="O65" s="22"/>
      <c r="P65" s="22"/>
      <c r="Q65" s="22"/>
      <c r="R65" s="22"/>
      <c r="S65" s="22"/>
      <c r="T65" s="22"/>
      <c r="U65" s="22"/>
      <c r="V65" s="22">
        <v>10000000</v>
      </c>
      <c r="W65" s="22"/>
      <c r="X65" s="22"/>
      <c r="Y65" s="22"/>
      <c r="Z65" s="22"/>
      <c r="AA65" s="22">
        <f>4500000</f>
        <v>4500000</v>
      </c>
      <c r="AB65" s="23">
        <f t="shared" si="1"/>
        <v>0.86202793103448272</v>
      </c>
      <c r="AC65" s="22">
        <f t="shared" si="57"/>
        <v>12499405</v>
      </c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>
        <f>+'[7]FEBRERO 2017'!$X$960</f>
        <v>8000000</v>
      </c>
      <c r="AS65" s="22"/>
      <c r="AT65" s="22"/>
      <c r="AU65" s="22"/>
      <c r="AV65" s="22"/>
      <c r="AW65" s="22">
        <f>+'[5]AGOSTO 2017'!$AC$3081</f>
        <v>4499405</v>
      </c>
      <c r="AX65" s="23">
        <f t="shared" si="3"/>
        <v>0.13797206896551728</v>
      </c>
      <c r="AY65" s="22">
        <f t="shared" si="48"/>
        <v>2000595</v>
      </c>
      <c r="AZ65" s="22">
        <f t="shared" si="55"/>
        <v>0</v>
      </c>
      <c r="BA65" s="22">
        <f t="shared" si="49"/>
        <v>0</v>
      </c>
      <c r="BB65" s="22">
        <f t="shared" si="49"/>
        <v>0</v>
      </c>
      <c r="BC65" s="22">
        <f t="shared" si="49"/>
        <v>0</v>
      </c>
      <c r="BD65" s="22">
        <f t="shared" si="49"/>
        <v>0</v>
      </c>
      <c r="BE65" s="22">
        <f t="shared" si="49"/>
        <v>0</v>
      </c>
      <c r="BF65" s="22">
        <f t="shared" si="49"/>
        <v>0</v>
      </c>
      <c r="BG65" s="22">
        <f t="shared" si="49"/>
        <v>0</v>
      </c>
      <c r="BH65" s="22">
        <f t="shared" si="49"/>
        <v>0</v>
      </c>
      <c r="BI65" s="22">
        <f t="shared" si="49"/>
        <v>0</v>
      </c>
      <c r="BJ65" s="22">
        <f t="shared" si="49"/>
        <v>0</v>
      </c>
      <c r="BK65" s="22">
        <f t="shared" si="49"/>
        <v>0</v>
      </c>
      <c r="BL65" s="22">
        <f t="shared" si="49"/>
        <v>0</v>
      </c>
      <c r="BM65" s="22">
        <f t="shared" si="49"/>
        <v>0</v>
      </c>
      <c r="BN65" s="22">
        <f t="shared" si="49"/>
        <v>2000000</v>
      </c>
      <c r="BO65" s="22">
        <f t="shared" si="49"/>
        <v>0</v>
      </c>
      <c r="BP65" s="22">
        <f t="shared" si="49"/>
        <v>0</v>
      </c>
      <c r="BQ65" s="22">
        <f t="shared" si="50"/>
        <v>0</v>
      </c>
      <c r="BR65" s="22">
        <f t="shared" si="50"/>
        <v>0</v>
      </c>
      <c r="BS65" s="22">
        <f t="shared" si="50"/>
        <v>595</v>
      </c>
      <c r="BT65" s="23">
        <f t="shared" si="7"/>
        <v>0.71199999999999997</v>
      </c>
      <c r="BU65" s="22">
        <f t="shared" si="51"/>
        <v>10324000</v>
      </c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>
        <f>+'[4]MAYO 2017'!$H$1665</f>
        <v>8000000</v>
      </c>
      <c r="CK65" s="22"/>
      <c r="CL65" s="22"/>
      <c r="CM65" s="22"/>
      <c r="CN65" s="22"/>
      <c r="CO65" s="22">
        <f>+'[5]AGOSTO 2017'!$H$3085</f>
        <v>2324000</v>
      </c>
      <c r="CP65" s="23">
        <f t="shared" si="9"/>
        <v>0.28800000000000003</v>
      </c>
      <c r="CQ65" s="22">
        <f t="shared" si="52"/>
        <v>4176000</v>
      </c>
      <c r="CR65" s="22">
        <f t="shared" si="56"/>
        <v>0</v>
      </c>
      <c r="CS65" s="22">
        <f t="shared" si="53"/>
        <v>0</v>
      </c>
      <c r="CT65" s="22">
        <f t="shared" si="53"/>
        <v>0</v>
      </c>
      <c r="CU65" s="22">
        <f t="shared" si="53"/>
        <v>0</v>
      </c>
      <c r="CV65" s="22">
        <f t="shared" si="53"/>
        <v>0</v>
      </c>
      <c r="CW65" s="22">
        <f t="shared" si="53"/>
        <v>0</v>
      </c>
      <c r="CX65" s="22">
        <f t="shared" si="53"/>
        <v>0</v>
      </c>
      <c r="CY65" s="22">
        <f t="shared" si="53"/>
        <v>0</v>
      </c>
      <c r="CZ65" s="22">
        <f t="shared" si="53"/>
        <v>0</v>
      </c>
      <c r="DA65" s="22">
        <f t="shared" si="53"/>
        <v>0</v>
      </c>
      <c r="DB65" s="22">
        <f t="shared" si="53"/>
        <v>0</v>
      </c>
      <c r="DC65" s="22">
        <f t="shared" si="53"/>
        <v>0</v>
      </c>
      <c r="DD65" s="22">
        <f t="shared" si="53"/>
        <v>0</v>
      </c>
      <c r="DE65" s="22">
        <f t="shared" si="53"/>
        <v>0</v>
      </c>
      <c r="DF65" s="22">
        <f t="shared" si="53"/>
        <v>2000000</v>
      </c>
      <c r="DG65" s="22">
        <f t="shared" si="53"/>
        <v>0</v>
      </c>
      <c r="DH65" s="22">
        <f t="shared" si="53"/>
        <v>0</v>
      </c>
      <c r="DI65" s="22">
        <f t="shared" si="54"/>
        <v>0</v>
      </c>
      <c r="DJ65" s="22">
        <f t="shared" si="54"/>
        <v>0</v>
      </c>
      <c r="DK65" s="22">
        <f t="shared" si="54"/>
        <v>2176000</v>
      </c>
      <c r="DM65" s="26">
        <f t="shared" si="26"/>
        <v>14500000</v>
      </c>
      <c r="DN65" s="26">
        <f t="shared" si="27"/>
        <v>14500000</v>
      </c>
      <c r="DO65" s="26">
        <f t="shared" si="28"/>
        <v>14500000</v>
      </c>
    </row>
    <row r="66" spans="1:120" ht="31.5" customHeight="1" x14ac:dyDescent="0.25">
      <c r="A66" s="199"/>
      <c r="B66" s="189"/>
      <c r="C66" s="30" t="s">
        <v>215</v>
      </c>
      <c r="D66" s="19" t="s">
        <v>216</v>
      </c>
      <c r="E66" s="20">
        <v>520</v>
      </c>
      <c r="F66" s="21" t="s">
        <v>151</v>
      </c>
      <c r="G66" s="22">
        <f t="shared" si="47"/>
        <v>11500000</v>
      </c>
      <c r="H66" s="33"/>
      <c r="I66" s="22">
        <v>10000000</v>
      </c>
      <c r="J66" s="33"/>
      <c r="K66" s="33"/>
      <c r="L66" s="33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>
        <v>1500000</v>
      </c>
      <c r="AB66" s="23">
        <f t="shared" si="1"/>
        <v>0.86956521739130432</v>
      </c>
      <c r="AC66" s="22">
        <f t="shared" si="57"/>
        <v>10000000</v>
      </c>
      <c r="AD66" s="22"/>
      <c r="AE66" s="22">
        <f>+'[5]AGOSTO 2017'!$K$3090</f>
        <v>10000000</v>
      </c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3">
        <f t="shared" si="3"/>
        <v>0.13043478260869568</v>
      </c>
      <c r="AY66" s="22">
        <f t="shared" si="48"/>
        <v>1500000</v>
      </c>
      <c r="AZ66" s="22">
        <f t="shared" si="55"/>
        <v>0</v>
      </c>
      <c r="BA66" s="22">
        <f t="shared" si="49"/>
        <v>0</v>
      </c>
      <c r="BB66" s="22">
        <f t="shared" si="49"/>
        <v>0</v>
      </c>
      <c r="BC66" s="22">
        <f t="shared" si="49"/>
        <v>0</v>
      </c>
      <c r="BD66" s="22">
        <f t="shared" si="49"/>
        <v>0</v>
      </c>
      <c r="BE66" s="22">
        <f t="shared" si="49"/>
        <v>0</v>
      </c>
      <c r="BF66" s="22">
        <f t="shared" si="49"/>
        <v>0</v>
      </c>
      <c r="BG66" s="22">
        <f t="shared" si="49"/>
        <v>0</v>
      </c>
      <c r="BH66" s="22">
        <f t="shared" si="49"/>
        <v>0</v>
      </c>
      <c r="BI66" s="22">
        <f t="shared" si="49"/>
        <v>0</v>
      </c>
      <c r="BJ66" s="22">
        <f t="shared" si="49"/>
        <v>0</v>
      </c>
      <c r="BK66" s="22">
        <f t="shared" si="49"/>
        <v>0</v>
      </c>
      <c r="BL66" s="22">
        <f t="shared" si="49"/>
        <v>0</v>
      </c>
      <c r="BM66" s="22">
        <f t="shared" si="49"/>
        <v>0</v>
      </c>
      <c r="BN66" s="22">
        <f t="shared" si="49"/>
        <v>0</v>
      </c>
      <c r="BO66" s="22">
        <f t="shared" si="49"/>
        <v>0</v>
      </c>
      <c r="BP66" s="22">
        <f t="shared" si="49"/>
        <v>0</v>
      </c>
      <c r="BQ66" s="22">
        <f t="shared" si="50"/>
        <v>0</v>
      </c>
      <c r="BR66" s="22">
        <f t="shared" si="50"/>
        <v>0</v>
      </c>
      <c r="BS66" s="22">
        <f t="shared" si="50"/>
        <v>1500000</v>
      </c>
      <c r="BT66" s="23">
        <f t="shared" si="7"/>
        <v>0.52002460869565215</v>
      </c>
      <c r="BU66" s="22">
        <f t="shared" si="51"/>
        <v>5980283</v>
      </c>
      <c r="BV66" s="22"/>
      <c r="BW66" s="22">
        <f>+'[5]AGOSTO 2017'!$H$3088</f>
        <v>5980283</v>
      </c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3">
        <f t="shared" si="9"/>
        <v>0.47997539130434785</v>
      </c>
      <c r="CQ66" s="22">
        <f t="shared" si="52"/>
        <v>5519717</v>
      </c>
      <c r="CR66" s="22">
        <f t="shared" si="56"/>
        <v>0</v>
      </c>
      <c r="CS66" s="22">
        <f t="shared" si="53"/>
        <v>4019717</v>
      </c>
      <c r="CT66" s="22">
        <f t="shared" si="53"/>
        <v>0</v>
      </c>
      <c r="CU66" s="22">
        <f t="shared" si="53"/>
        <v>0</v>
      </c>
      <c r="CV66" s="22">
        <f t="shared" si="53"/>
        <v>0</v>
      </c>
      <c r="CW66" s="22">
        <f t="shared" si="53"/>
        <v>0</v>
      </c>
      <c r="CX66" s="22">
        <f t="shared" si="53"/>
        <v>0</v>
      </c>
      <c r="CY66" s="22">
        <f t="shared" si="53"/>
        <v>0</v>
      </c>
      <c r="CZ66" s="22">
        <f t="shared" si="53"/>
        <v>0</v>
      </c>
      <c r="DA66" s="22">
        <f t="shared" si="53"/>
        <v>0</v>
      </c>
      <c r="DB66" s="22">
        <f t="shared" si="53"/>
        <v>0</v>
      </c>
      <c r="DC66" s="22">
        <f t="shared" si="53"/>
        <v>0</v>
      </c>
      <c r="DD66" s="22">
        <f t="shared" si="53"/>
        <v>0</v>
      </c>
      <c r="DE66" s="22">
        <f t="shared" si="53"/>
        <v>0</v>
      </c>
      <c r="DF66" s="22">
        <f t="shared" si="53"/>
        <v>0</v>
      </c>
      <c r="DG66" s="22">
        <f t="shared" si="53"/>
        <v>0</v>
      </c>
      <c r="DH66" s="22">
        <f t="shared" si="53"/>
        <v>0</v>
      </c>
      <c r="DI66" s="22">
        <f t="shared" si="54"/>
        <v>0</v>
      </c>
      <c r="DJ66" s="22">
        <f t="shared" si="54"/>
        <v>0</v>
      </c>
      <c r="DK66" s="22">
        <f t="shared" si="54"/>
        <v>1500000</v>
      </c>
      <c r="DM66" s="26">
        <f t="shared" si="26"/>
        <v>11500000</v>
      </c>
      <c r="DN66" s="26">
        <f t="shared" si="27"/>
        <v>11500000</v>
      </c>
      <c r="DO66" s="26">
        <f t="shared" si="28"/>
        <v>11500000</v>
      </c>
    </row>
    <row r="67" spans="1:120" ht="69" customHeight="1" x14ac:dyDescent="0.25">
      <c r="A67" s="199"/>
      <c r="B67" s="189"/>
      <c r="C67" s="30" t="s">
        <v>217</v>
      </c>
      <c r="D67" s="19" t="s">
        <v>218</v>
      </c>
      <c r="E67" s="20">
        <v>520</v>
      </c>
      <c r="F67" s="21" t="s">
        <v>219</v>
      </c>
      <c r="G67" s="22">
        <f t="shared" si="47"/>
        <v>522163812</v>
      </c>
      <c r="H67" s="33"/>
      <c r="I67" s="33"/>
      <c r="J67" s="33"/>
      <c r="K67" s="33"/>
      <c r="L67" s="33"/>
      <c r="M67" s="22"/>
      <c r="N67" s="22"/>
      <c r="O67" s="22"/>
      <c r="P67" s="22"/>
      <c r="Q67" s="22"/>
      <c r="R67" s="22"/>
      <c r="S67" s="22"/>
      <c r="T67" s="22"/>
      <c r="U67" s="22"/>
      <c r="V67" s="22">
        <v>20084973</v>
      </c>
      <c r="W67" s="22"/>
      <c r="X67" s="22"/>
      <c r="Y67" s="22"/>
      <c r="Z67" s="22"/>
      <c r="AA67" s="22">
        <f>273000000+1000000+30000000+105550536+90528303+2000000</f>
        <v>502078839</v>
      </c>
      <c r="AB67" s="23">
        <f t="shared" si="1"/>
        <v>0.98084667154222471</v>
      </c>
      <c r="AC67" s="22">
        <f t="shared" si="57"/>
        <v>512162637</v>
      </c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>
        <f>+'[8]ABRIL 2017'!$X$1405</f>
        <v>19235162</v>
      </c>
      <c r="AS67" s="22"/>
      <c r="AT67" s="22"/>
      <c r="AU67" s="22"/>
      <c r="AV67" s="22"/>
      <c r="AW67" s="22">
        <f>+'[3]JUNIO 2017'!$AC$2038</f>
        <v>492927475</v>
      </c>
      <c r="AX67" s="23">
        <f t="shared" si="3"/>
        <v>1.9153328457775287E-2</v>
      </c>
      <c r="AY67" s="22">
        <f t="shared" si="48"/>
        <v>10001175</v>
      </c>
      <c r="AZ67" s="22">
        <f t="shared" si="55"/>
        <v>0</v>
      </c>
      <c r="BA67" s="22">
        <f t="shared" si="49"/>
        <v>0</v>
      </c>
      <c r="BB67" s="22">
        <f t="shared" si="49"/>
        <v>0</v>
      </c>
      <c r="BC67" s="22">
        <f t="shared" si="49"/>
        <v>0</v>
      </c>
      <c r="BD67" s="22">
        <f t="shared" si="49"/>
        <v>0</v>
      </c>
      <c r="BE67" s="22">
        <f t="shared" si="49"/>
        <v>0</v>
      </c>
      <c r="BF67" s="22">
        <f t="shared" si="49"/>
        <v>0</v>
      </c>
      <c r="BG67" s="22">
        <f t="shared" si="49"/>
        <v>0</v>
      </c>
      <c r="BH67" s="22">
        <f t="shared" si="49"/>
        <v>0</v>
      </c>
      <c r="BI67" s="22">
        <f t="shared" si="49"/>
        <v>0</v>
      </c>
      <c r="BJ67" s="22">
        <f t="shared" si="49"/>
        <v>0</v>
      </c>
      <c r="BK67" s="22">
        <f t="shared" si="49"/>
        <v>0</v>
      </c>
      <c r="BL67" s="22">
        <f t="shared" si="49"/>
        <v>0</v>
      </c>
      <c r="BM67" s="22">
        <f t="shared" si="49"/>
        <v>0</v>
      </c>
      <c r="BN67" s="22">
        <f t="shared" si="49"/>
        <v>849811</v>
      </c>
      <c r="BO67" s="22">
        <f t="shared" si="49"/>
        <v>0</v>
      </c>
      <c r="BP67" s="22">
        <f t="shared" si="49"/>
        <v>0</v>
      </c>
      <c r="BQ67" s="22">
        <f t="shared" si="50"/>
        <v>0</v>
      </c>
      <c r="BR67" s="22">
        <f t="shared" si="50"/>
        <v>0</v>
      </c>
      <c r="BS67" s="22">
        <f t="shared" si="50"/>
        <v>9151364</v>
      </c>
      <c r="BT67" s="23">
        <f t="shared" si="7"/>
        <v>0.87691570820691034</v>
      </c>
      <c r="BU67" s="22">
        <f t="shared" si="51"/>
        <v>457893649</v>
      </c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>
        <f>+'[5]AGOSTO 2017'!$H$3131+'[5]AGOSTO 2017'!$H$3132+'[5]AGOSTO 2017'!$H$3140</f>
        <v>19235162</v>
      </c>
      <c r="CK67" s="22"/>
      <c r="CL67" s="22"/>
      <c r="CM67" s="22"/>
      <c r="CN67" s="22"/>
      <c r="CO67" s="22">
        <f>+'[5]AGOSTO 2017'!$H$3096-CJ67</f>
        <v>438658487</v>
      </c>
      <c r="CP67" s="23">
        <f t="shared" si="9"/>
        <v>0.12308429179308966</v>
      </c>
      <c r="CQ67" s="22">
        <f t="shared" si="52"/>
        <v>64270163</v>
      </c>
      <c r="CR67" s="22">
        <f t="shared" si="56"/>
        <v>0</v>
      </c>
      <c r="CS67" s="22">
        <f t="shared" si="53"/>
        <v>0</v>
      </c>
      <c r="CT67" s="22">
        <f t="shared" si="53"/>
        <v>0</v>
      </c>
      <c r="CU67" s="22">
        <f t="shared" si="53"/>
        <v>0</v>
      </c>
      <c r="CV67" s="22">
        <f t="shared" si="53"/>
        <v>0</v>
      </c>
      <c r="CW67" s="22">
        <f t="shared" si="53"/>
        <v>0</v>
      </c>
      <c r="CX67" s="22">
        <f t="shared" si="53"/>
        <v>0</v>
      </c>
      <c r="CY67" s="22">
        <f t="shared" si="53"/>
        <v>0</v>
      </c>
      <c r="CZ67" s="22">
        <f t="shared" si="53"/>
        <v>0</v>
      </c>
      <c r="DA67" s="22">
        <f t="shared" si="53"/>
        <v>0</v>
      </c>
      <c r="DB67" s="22">
        <f t="shared" si="53"/>
        <v>0</v>
      </c>
      <c r="DC67" s="22">
        <f t="shared" si="53"/>
        <v>0</v>
      </c>
      <c r="DD67" s="22">
        <f t="shared" si="53"/>
        <v>0</v>
      </c>
      <c r="DE67" s="22">
        <f t="shared" si="53"/>
        <v>0</v>
      </c>
      <c r="DF67" s="22">
        <f t="shared" si="53"/>
        <v>849811</v>
      </c>
      <c r="DG67" s="22">
        <f t="shared" si="53"/>
        <v>0</v>
      </c>
      <c r="DH67" s="22">
        <f t="shared" si="53"/>
        <v>0</v>
      </c>
      <c r="DI67" s="22">
        <f t="shared" si="54"/>
        <v>0</v>
      </c>
      <c r="DJ67" s="22">
        <f t="shared" si="54"/>
        <v>0</v>
      </c>
      <c r="DK67" s="22">
        <f t="shared" si="54"/>
        <v>63420352</v>
      </c>
      <c r="DM67" s="26">
        <f t="shared" si="26"/>
        <v>522163812</v>
      </c>
      <c r="DN67" s="26">
        <f t="shared" si="27"/>
        <v>522163812</v>
      </c>
      <c r="DO67" s="26">
        <f t="shared" si="28"/>
        <v>522163812</v>
      </c>
    </row>
    <row r="68" spans="1:120" ht="33" customHeight="1" x14ac:dyDescent="0.25">
      <c r="A68" s="198" t="s">
        <v>190</v>
      </c>
      <c r="B68" s="28" t="s">
        <v>220</v>
      </c>
      <c r="C68" s="30" t="s">
        <v>221</v>
      </c>
      <c r="D68" s="19" t="s">
        <v>222</v>
      </c>
      <c r="E68" s="20">
        <v>520</v>
      </c>
      <c r="F68" s="21" t="s">
        <v>107</v>
      </c>
      <c r="G68" s="22">
        <f t="shared" si="47"/>
        <v>30000000</v>
      </c>
      <c r="H68" s="33"/>
      <c r="I68" s="22">
        <v>30000000</v>
      </c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3">
        <f t="shared" si="1"/>
        <v>0.80903099999999994</v>
      </c>
      <c r="AC68" s="22">
        <f t="shared" si="57"/>
        <v>24270930</v>
      </c>
      <c r="AD68" s="22"/>
      <c r="AE68" s="22">
        <f>+'[5]AGOSTO 2017'!$K$3175</f>
        <v>24270930</v>
      </c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3">
        <f t="shared" si="3"/>
        <v>0.19096900000000006</v>
      </c>
      <c r="AY68" s="22">
        <f t="shared" si="48"/>
        <v>5729070</v>
      </c>
      <c r="AZ68" s="22">
        <f t="shared" si="55"/>
        <v>0</v>
      </c>
      <c r="BA68" s="22">
        <f t="shared" si="49"/>
        <v>5729070</v>
      </c>
      <c r="BB68" s="22">
        <f t="shared" si="49"/>
        <v>0</v>
      </c>
      <c r="BC68" s="22">
        <f t="shared" si="49"/>
        <v>0</v>
      </c>
      <c r="BD68" s="22">
        <f t="shared" si="49"/>
        <v>0</v>
      </c>
      <c r="BE68" s="22">
        <f t="shared" si="49"/>
        <v>0</v>
      </c>
      <c r="BF68" s="22">
        <f t="shared" si="49"/>
        <v>0</v>
      </c>
      <c r="BG68" s="22">
        <f t="shared" si="49"/>
        <v>0</v>
      </c>
      <c r="BH68" s="22">
        <f t="shared" si="49"/>
        <v>0</v>
      </c>
      <c r="BI68" s="22">
        <f t="shared" si="49"/>
        <v>0</v>
      </c>
      <c r="BJ68" s="22">
        <f t="shared" si="49"/>
        <v>0</v>
      </c>
      <c r="BK68" s="22">
        <f t="shared" si="49"/>
        <v>0</v>
      </c>
      <c r="BL68" s="22">
        <f t="shared" si="49"/>
        <v>0</v>
      </c>
      <c r="BM68" s="22">
        <f t="shared" si="49"/>
        <v>0</v>
      </c>
      <c r="BN68" s="22">
        <f t="shared" si="49"/>
        <v>0</v>
      </c>
      <c r="BO68" s="22">
        <f t="shared" si="49"/>
        <v>0</v>
      </c>
      <c r="BP68" s="22">
        <f t="shared" si="49"/>
        <v>0</v>
      </c>
      <c r="BQ68" s="22">
        <f t="shared" si="50"/>
        <v>0</v>
      </c>
      <c r="BR68" s="22">
        <f t="shared" si="50"/>
        <v>0</v>
      </c>
      <c r="BS68" s="22">
        <f t="shared" si="50"/>
        <v>0</v>
      </c>
      <c r="BT68" s="23">
        <f t="shared" si="7"/>
        <v>0.438031</v>
      </c>
      <c r="BU68" s="22">
        <f t="shared" si="51"/>
        <v>13140930</v>
      </c>
      <c r="BV68" s="22"/>
      <c r="BW68" s="22">
        <f>+'[5]AGOSTO 2017'!$H$3173</f>
        <v>13140930</v>
      </c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3">
        <f t="shared" ref="CP68:CP114" si="58">1-BT68</f>
        <v>0.56196899999999994</v>
      </c>
      <c r="CQ68" s="22">
        <f t="shared" si="52"/>
        <v>16859070</v>
      </c>
      <c r="CR68" s="22">
        <f t="shared" si="56"/>
        <v>0</v>
      </c>
      <c r="CS68" s="22">
        <f t="shared" si="53"/>
        <v>16859070</v>
      </c>
      <c r="CT68" s="22">
        <f t="shared" si="53"/>
        <v>0</v>
      </c>
      <c r="CU68" s="22">
        <f t="shared" si="53"/>
        <v>0</v>
      </c>
      <c r="CV68" s="22">
        <f t="shared" si="53"/>
        <v>0</v>
      </c>
      <c r="CW68" s="22">
        <f t="shared" si="53"/>
        <v>0</v>
      </c>
      <c r="CX68" s="22">
        <f t="shared" si="53"/>
        <v>0</v>
      </c>
      <c r="CY68" s="22">
        <f t="shared" si="53"/>
        <v>0</v>
      </c>
      <c r="CZ68" s="22">
        <f t="shared" si="53"/>
        <v>0</v>
      </c>
      <c r="DA68" s="22">
        <f t="shared" si="53"/>
        <v>0</v>
      </c>
      <c r="DB68" s="22">
        <f t="shared" si="53"/>
        <v>0</v>
      </c>
      <c r="DC68" s="22">
        <f t="shared" si="53"/>
        <v>0</v>
      </c>
      <c r="DD68" s="22">
        <f t="shared" si="53"/>
        <v>0</v>
      </c>
      <c r="DE68" s="22">
        <f t="shared" si="53"/>
        <v>0</v>
      </c>
      <c r="DF68" s="22">
        <f t="shared" si="53"/>
        <v>0</v>
      </c>
      <c r="DG68" s="22">
        <f t="shared" si="53"/>
        <v>0</v>
      </c>
      <c r="DH68" s="22">
        <f t="shared" si="53"/>
        <v>0</v>
      </c>
      <c r="DI68" s="22">
        <f t="shared" si="54"/>
        <v>0</v>
      </c>
      <c r="DJ68" s="22">
        <f t="shared" si="54"/>
        <v>0</v>
      </c>
      <c r="DK68" s="22">
        <f t="shared" si="54"/>
        <v>0</v>
      </c>
      <c r="DM68" s="26">
        <f t="shared" si="26"/>
        <v>30000000</v>
      </c>
      <c r="DN68" s="26">
        <f t="shared" si="27"/>
        <v>30000000</v>
      </c>
      <c r="DO68" s="26">
        <f t="shared" si="28"/>
        <v>30000000</v>
      </c>
    </row>
    <row r="69" spans="1:120" ht="45" customHeight="1" x14ac:dyDescent="0.25">
      <c r="A69" s="199"/>
      <c r="B69" s="200" t="s">
        <v>223</v>
      </c>
      <c r="C69" s="30" t="s">
        <v>224</v>
      </c>
      <c r="D69" s="19" t="s">
        <v>225</v>
      </c>
      <c r="E69" s="20">
        <v>520</v>
      </c>
      <c r="F69" s="21" t="s">
        <v>107</v>
      </c>
      <c r="G69" s="22">
        <f t="shared" si="47"/>
        <v>10000000</v>
      </c>
      <c r="H69" s="33"/>
      <c r="I69" s="22">
        <v>10000000</v>
      </c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49"/>
      <c r="U69" s="22"/>
      <c r="V69" s="22"/>
      <c r="W69" s="22"/>
      <c r="X69" s="22"/>
      <c r="Y69" s="22"/>
      <c r="Z69" s="22"/>
      <c r="AA69" s="22"/>
      <c r="AB69" s="23">
        <f t="shared" si="1"/>
        <v>0.99305460000000001</v>
      </c>
      <c r="AC69" s="22">
        <f t="shared" si="57"/>
        <v>9930546</v>
      </c>
      <c r="AD69" s="22"/>
      <c r="AE69" s="22">
        <f>+'[8]ABRIL 2017'!$K$1459</f>
        <v>9930546</v>
      </c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3">
        <f t="shared" si="3"/>
        <v>6.9453999999999905E-3</v>
      </c>
      <c r="AY69" s="22">
        <f t="shared" si="48"/>
        <v>69454</v>
      </c>
      <c r="AZ69" s="22">
        <f t="shared" si="55"/>
        <v>0</v>
      </c>
      <c r="BA69" s="22">
        <f t="shared" si="49"/>
        <v>69454</v>
      </c>
      <c r="BB69" s="22">
        <f t="shared" si="49"/>
        <v>0</v>
      </c>
      <c r="BC69" s="22">
        <f t="shared" si="49"/>
        <v>0</v>
      </c>
      <c r="BD69" s="22">
        <f t="shared" si="49"/>
        <v>0</v>
      </c>
      <c r="BE69" s="22">
        <f t="shared" si="49"/>
        <v>0</v>
      </c>
      <c r="BF69" s="22">
        <f t="shared" si="49"/>
        <v>0</v>
      </c>
      <c r="BG69" s="22">
        <f t="shared" si="49"/>
        <v>0</v>
      </c>
      <c r="BH69" s="22">
        <f t="shared" si="49"/>
        <v>0</v>
      </c>
      <c r="BI69" s="22">
        <f t="shared" si="49"/>
        <v>0</v>
      </c>
      <c r="BJ69" s="22">
        <f t="shared" si="49"/>
        <v>0</v>
      </c>
      <c r="BK69" s="22">
        <f t="shared" si="49"/>
        <v>0</v>
      </c>
      <c r="BL69" s="22">
        <f t="shared" si="49"/>
        <v>0</v>
      </c>
      <c r="BM69" s="22">
        <f t="shared" si="49"/>
        <v>0</v>
      </c>
      <c r="BN69" s="22">
        <f t="shared" si="49"/>
        <v>0</v>
      </c>
      <c r="BO69" s="22">
        <f t="shared" si="49"/>
        <v>0</v>
      </c>
      <c r="BP69" s="22">
        <f t="shared" si="49"/>
        <v>0</v>
      </c>
      <c r="BQ69" s="22">
        <f t="shared" si="50"/>
        <v>0</v>
      </c>
      <c r="BR69" s="22">
        <f t="shared" si="50"/>
        <v>0</v>
      </c>
      <c r="BS69" s="22">
        <f t="shared" si="50"/>
        <v>0</v>
      </c>
      <c r="BT69" s="23">
        <f t="shared" si="7"/>
        <v>0.99305460000000001</v>
      </c>
      <c r="BU69" s="22">
        <f t="shared" si="51"/>
        <v>9930546</v>
      </c>
      <c r="BV69" s="22"/>
      <c r="BW69" s="22">
        <f>+'[8]ABRIL 2017'!$H$1457</f>
        <v>9930546</v>
      </c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3">
        <f t="shared" si="58"/>
        <v>6.9453999999999905E-3</v>
      </c>
      <c r="CQ69" s="22">
        <f t="shared" si="52"/>
        <v>69454</v>
      </c>
      <c r="CR69" s="22">
        <f t="shared" si="56"/>
        <v>0</v>
      </c>
      <c r="CS69" s="22">
        <f t="shared" si="53"/>
        <v>69454</v>
      </c>
      <c r="CT69" s="22">
        <f t="shared" si="53"/>
        <v>0</v>
      </c>
      <c r="CU69" s="22">
        <f t="shared" si="53"/>
        <v>0</v>
      </c>
      <c r="CV69" s="22">
        <f t="shared" si="53"/>
        <v>0</v>
      </c>
      <c r="CW69" s="22">
        <f t="shared" si="53"/>
        <v>0</v>
      </c>
      <c r="CX69" s="22">
        <f t="shared" si="53"/>
        <v>0</v>
      </c>
      <c r="CY69" s="22">
        <f t="shared" si="53"/>
        <v>0</v>
      </c>
      <c r="CZ69" s="22">
        <f t="shared" si="53"/>
        <v>0</v>
      </c>
      <c r="DA69" s="22">
        <f t="shared" si="53"/>
        <v>0</v>
      </c>
      <c r="DB69" s="22">
        <f t="shared" si="53"/>
        <v>0</v>
      </c>
      <c r="DC69" s="22">
        <f t="shared" si="53"/>
        <v>0</v>
      </c>
      <c r="DD69" s="22">
        <f t="shared" si="53"/>
        <v>0</v>
      </c>
      <c r="DE69" s="22">
        <f t="shared" si="53"/>
        <v>0</v>
      </c>
      <c r="DF69" s="22">
        <f t="shared" si="53"/>
        <v>0</v>
      </c>
      <c r="DG69" s="22">
        <f t="shared" si="53"/>
        <v>0</v>
      </c>
      <c r="DH69" s="22">
        <f t="shared" si="53"/>
        <v>0</v>
      </c>
      <c r="DI69" s="22">
        <f t="shared" si="54"/>
        <v>0</v>
      </c>
      <c r="DJ69" s="22">
        <f t="shared" si="54"/>
        <v>0</v>
      </c>
      <c r="DK69" s="22">
        <f t="shared" si="54"/>
        <v>0</v>
      </c>
      <c r="DM69" s="26">
        <f t="shared" si="26"/>
        <v>10000000</v>
      </c>
      <c r="DN69" s="26">
        <f t="shared" si="27"/>
        <v>10000000</v>
      </c>
      <c r="DO69" s="26">
        <f t="shared" si="28"/>
        <v>10000000</v>
      </c>
    </row>
    <row r="70" spans="1:120" ht="34.5" customHeight="1" x14ac:dyDescent="0.25">
      <c r="A70" s="199"/>
      <c r="B70" s="201"/>
      <c r="C70" s="30" t="s">
        <v>226</v>
      </c>
      <c r="D70" s="19" t="s">
        <v>227</v>
      </c>
      <c r="E70" s="20">
        <v>520</v>
      </c>
      <c r="F70" s="21" t="s">
        <v>107</v>
      </c>
      <c r="G70" s="22">
        <f t="shared" si="47"/>
        <v>10000000</v>
      </c>
      <c r="H70" s="33"/>
      <c r="I70" s="22">
        <v>10000000</v>
      </c>
      <c r="J70" s="33"/>
      <c r="K70" s="33"/>
      <c r="L70" s="22"/>
      <c r="M70" s="33"/>
      <c r="N70" s="33"/>
      <c r="O70" s="33"/>
      <c r="P70" s="33"/>
      <c r="Q70" s="33"/>
      <c r="R70" s="25"/>
      <c r="S70" s="33"/>
      <c r="T70" s="49"/>
      <c r="U70" s="33"/>
      <c r="V70" s="33"/>
      <c r="W70" s="33"/>
      <c r="X70" s="33"/>
      <c r="Y70" s="33"/>
      <c r="Z70" s="33"/>
      <c r="AA70" s="65"/>
      <c r="AB70" s="23">
        <f t="shared" si="1"/>
        <v>1</v>
      </c>
      <c r="AC70" s="22">
        <f t="shared" si="57"/>
        <v>10000000</v>
      </c>
      <c r="AD70" s="22"/>
      <c r="AE70" s="22">
        <f>+'[3]JUNIO 2017'!$K$2109</f>
        <v>10000000</v>
      </c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3">
        <f t="shared" si="3"/>
        <v>0</v>
      </c>
      <c r="AY70" s="22">
        <f t="shared" si="48"/>
        <v>0</v>
      </c>
      <c r="AZ70" s="22">
        <f t="shared" si="55"/>
        <v>0</v>
      </c>
      <c r="BA70" s="22">
        <f t="shared" si="49"/>
        <v>0</v>
      </c>
      <c r="BB70" s="22">
        <f t="shared" si="49"/>
        <v>0</v>
      </c>
      <c r="BC70" s="22">
        <f t="shared" si="49"/>
        <v>0</v>
      </c>
      <c r="BD70" s="22">
        <f t="shared" si="49"/>
        <v>0</v>
      </c>
      <c r="BE70" s="22">
        <f t="shared" si="49"/>
        <v>0</v>
      </c>
      <c r="BF70" s="22">
        <f t="shared" si="49"/>
        <v>0</v>
      </c>
      <c r="BG70" s="22">
        <f t="shared" si="49"/>
        <v>0</v>
      </c>
      <c r="BH70" s="22">
        <f t="shared" si="49"/>
        <v>0</v>
      </c>
      <c r="BI70" s="22">
        <f t="shared" si="49"/>
        <v>0</v>
      </c>
      <c r="BJ70" s="22">
        <f t="shared" si="49"/>
        <v>0</v>
      </c>
      <c r="BK70" s="22">
        <f t="shared" si="49"/>
        <v>0</v>
      </c>
      <c r="BL70" s="22">
        <f t="shared" si="49"/>
        <v>0</v>
      </c>
      <c r="BM70" s="22">
        <f t="shared" si="49"/>
        <v>0</v>
      </c>
      <c r="BN70" s="22">
        <f t="shared" si="49"/>
        <v>0</v>
      </c>
      <c r="BO70" s="22">
        <f t="shared" si="49"/>
        <v>0</v>
      </c>
      <c r="BP70" s="22">
        <f t="shared" si="49"/>
        <v>0</v>
      </c>
      <c r="BQ70" s="22">
        <f t="shared" si="50"/>
        <v>0</v>
      </c>
      <c r="BR70" s="22">
        <f t="shared" si="50"/>
        <v>0</v>
      </c>
      <c r="BS70" s="22">
        <f t="shared" si="50"/>
        <v>0</v>
      </c>
      <c r="BT70" s="23">
        <f t="shared" si="7"/>
        <v>1</v>
      </c>
      <c r="BU70" s="22">
        <f t="shared" si="51"/>
        <v>10000000</v>
      </c>
      <c r="BV70" s="22"/>
      <c r="BW70" s="22">
        <f>+'[5]AGOSTO 2017'!$K$3196</f>
        <v>10000000</v>
      </c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3">
        <f t="shared" si="58"/>
        <v>0</v>
      </c>
      <c r="CQ70" s="22">
        <f t="shared" si="52"/>
        <v>0</v>
      </c>
      <c r="CR70" s="22">
        <f t="shared" si="56"/>
        <v>0</v>
      </c>
      <c r="CS70" s="22">
        <f t="shared" si="53"/>
        <v>0</v>
      </c>
      <c r="CT70" s="22">
        <f t="shared" si="53"/>
        <v>0</v>
      </c>
      <c r="CU70" s="22">
        <f t="shared" si="53"/>
        <v>0</v>
      </c>
      <c r="CV70" s="22">
        <f t="shared" si="53"/>
        <v>0</v>
      </c>
      <c r="CW70" s="22">
        <f t="shared" si="53"/>
        <v>0</v>
      </c>
      <c r="CX70" s="22">
        <f t="shared" si="53"/>
        <v>0</v>
      </c>
      <c r="CY70" s="22">
        <f t="shared" si="53"/>
        <v>0</v>
      </c>
      <c r="CZ70" s="22">
        <f t="shared" si="53"/>
        <v>0</v>
      </c>
      <c r="DA70" s="22">
        <f t="shared" si="53"/>
        <v>0</v>
      </c>
      <c r="DB70" s="22">
        <f t="shared" si="53"/>
        <v>0</v>
      </c>
      <c r="DC70" s="22">
        <f t="shared" si="53"/>
        <v>0</v>
      </c>
      <c r="DD70" s="22">
        <f t="shared" si="53"/>
        <v>0</v>
      </c>
      <c r="DE70" s="22">
        <f t="shared" si="53"/>
        <v>0</v>
      </c>
      <c r="DF70" s="22">
        <f t="shared" si="53"/>
        <v>0</v>
      </c>
      <c r="DG70" s="22">
        <f t="shared" si="53"/>
        <v>0</v>
      </c>
      <c r="DH70" s="22">
        <f t="shared" si="53"/>
        <v>0</v>
      </c>
      <c r="DI70" s="22">
        <f t="shared" si="54"/>
        <v>0</v>
      </c>
      <c r="DJ70" s="22">
        <f t="shared" si="54"/>
        <v>0</v>
      </c>
      <c r="DK70" s="22">
        <f t="shared" si="54"/>
        <v>0</v>
      </c>
      <c r="DM70" s="26">
        <f t="shared" si="26"/>
        <v>10000000</v>
      </c>
      <c r="DN70" s="26">
        <f t="shared" si="27"/>
        <v>10000000</v>
      </c>
      <c r="DO70" s="26">
        <f t="shared" si="28"/>
        <v>10000000</v>
      </c>
    </row>
    <row r="71" spans="1:120" ht="34.5" customHeight="1" x14ac:dyDescent="0.25">
      <c r="A71" s="199"/>
      <c r="B71" s="202"/>
      <c r="C71" s="30" t="s">
        <v>228</v>
      </c>
      <c r="D71" s="66" t="s">
        <v>229</v>
      </c>
      <c r="E71" s="20">
        <v>520</v>
      </c>
      <c r="F71" s="67" t="s">
        <v>151</v>
      </c>
      <c r="G71" s="22">
        <f t="shared" si="47"/>
        <v>4826876</v>
      </c>
      <c r="H71" s="33"/>
      <c r="I71" s="22"/>
      <c r="J71" s="33"/>
      <c r="K71" s="50"/>
      <c r="L71" s="49"/>
      <c r="M71" s="33"/>
      <c r="N71" s="33"/>
      <c r="O71" s="33"/>
      <c r="P71" s="33"/>
      <c r="Q71" s="33"/>
      <c r="R71" s="25"/>
      <c r="S71" s="33"/>
      <c r="T71" s="49"/>
      <c r="U71" s="33"/>
      <c r="V71" s="33"/>
      <c r="W71" s="33"/>
      <c r="X71" s="33"/>
      <c r="Y71" s="33"/>
      <c r="Z71" s="33"/>
      <c r="AA71" s="22">
        <v>4826876</v>
      </c>
      <c r="AB71" s="23">
        <f t="shared" si="1"/>
        <v>0</v>
      </c>
      <c r="AC71" s="22">
        <f t="shared" ref="AC71" si="59">SUM(AD71:AW71)</f>
        <v>0</v>
      </c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>
        <f t="shared" si="3"/>
        <v>1</v>
      </c>
      <c r="AY71" s="22">
        <f t="shared" ref="AY71" si="60">SUM(AZ71:BS71)</f>
        <v>4826876</v>
      </c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>
        <f t="shared" si="50"/>
        <v>4826876</v>
      </c>
      <c r="BT71" s="23">
        <f t="shared" si="7"/>
        <v>0</v>
      </c>
      <c r="BU71" s="22">
        <f t="shared" ref="BU71" si="61">SUM(BV71:CO71)</f>
        <v>0</v>
      </c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3">
        <f t="shared" si="58"/>
        <v>1</v>
      </c>
      <c r="CQ71" s="22">
        <f t="shared" ref="CQ71" si="62">SUM(CR71:DK71)</f>
        <v>4826876</v>
      </c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>
        <f t="shared" si="54"/>
        <v>4826876</v>
      </c>
      <c r="DM71" s="26">
        <f t="shared" si="26"/>
        <v>4826876</v>
      </c>
      <c r="DN71" s="26">
        <f t="shared" si="27"/>
        <v>4826876</v>
      </c>
      <c r="DO71" s="26">
        <f t="shared" si="28"/>
        <v>4826876</v>
      </c>
    </row>
    <row r="72" spans="1:120" ht="49.5" customHeight="1" x14ac:dyDescent="0.25">
      <c r="A72" s="199"/>
      <c r="B72" s="68" t="s">
        <v>230</v>
      </c>
      <c r="C72" s="30" t="s">
        <v>231</v>
      </c>
      <c r="D72" s="69" t="s">
        <v>232</v>
      </c>
      <c r="E72" s="20">
        <v>520</v>
      </c>
      <c r="F72" s="67" t="s">
        <v>107</v>
      </c>
      <c r="G72" s="22">
        <f t="shared" si="47"/>
        <v>60000000</v>
      </c>
      <c r="H72" s="33"/>
      <c r="I72" s="22">
        <v>20000000</v>
      </c>
      <c r="J72" s="33"/>
      <c r="K72" s="50"/>
      <c r="L72" s="49"/>
      <c r="M72" s="33"/>
      <c r="N72" s="33"/>
      <c r="O72" s="33"/>
      <c r="P72" s="33"/>
      <c r="Q72" s="33"/>
      <c r="R72" s="25"/>
      <c r="S72" s="33"/>
      <c r="T72" s="49"/>
      <c r="U72" s="22">
        <v>40000000</v>
      </c>
      <c r="V72" s="33"/>
      <c r="W72" s="33"/>
      <c r="X72" s="33"/>
      <c r="Y72" s="33"/>
      <c r="Z72" s="33"/>
      <c r="AA72" s="65"/>
      <c r="AB72" s="23">
        <f t="shared" si="1"/>
        <v>0.99988501666666663</v>
      </c>
      <c r="AC72" s="22">
        <f t="shared" si="57"/>
        <v>59993101</v>
      </c>
      <c r="AD72" s="22"/>
      <c r="AE72" s="22">
        <f>+'[1]ENERO 2017'!$K$823</f>
        <v>19993101</v>
      </c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>
        <f>+'[6]JULIO 2017'!$W$2818</f>
        <v>40000000</v>
      </c>
      <c r="AR72" s="22"/>
      <c r="AS72" s="22"/>
      <c r="AT72" s="22"/>
      <c r="AU72" s="22"/>
      <c r="AV72" s="22"/>
      <c r="AW72" s="22"/>
      <c r="AX72" s="23">
        <f t="shared" si="3"/>
        <v>1.1498333333337385E-4</v>
      </c>
      <c r="AY72" s="22">
        <f t="shared" si="48"/>
        <v>6899</v>
      </c>
      <c r="AZ72" s="22">
        <f t="shared" si="55"/>
        <v>0</v>
      </c>
      <c r="BA72" s="22">
        <f t="shared" si="49"/>
        <v>6899</v>
      </c>
      <c r="BB72" s="22">
        <f t="shared" si="49"/>
        <v>0</v>
      </c>
      <c r="BC72" s="22">
        <f t="shared" si="49"/>
        <v>0</v>
      </c>
      <c r="BD72" s="22">
        <f t="shared" si="49"/>
        <v>0</v>
      </c>
      <c r="BE72" s="22">
        <f t="shared" si="49"/>
        <v>0</v>
      </c>
      <c r="BF72" s="22">
        <f t="shared" si="49"/>
        <v>0</v>
      </c>
      <c r="BG72" s="22">
        <f t="shared" si="49"/>
        <v>0</v>
      </c>
      <c r="BH72" s="22">
        <f t="shared" si="49"/>
        <v>0</v>
      </c>
      <c r="BI72" s="22">
        <f t="shared" si="49"/>
        <v>0</v>
      </c>
      <c r="BJ72" s="22">
        <f t="shared" si="49"/>
        <v>0</v>
      </c>
      <c r="BK72" s="22">
        <f t="shared" si="49"/>
        <v>0</v>
      </c>
      <c r="BL72" s="22">
        <f t="shared" si="49"/>
        <v>0</v>
      </c>
      <c r="BM72" s="22">
        <f t="shared" si="49"/>
        <v>0</v>
      </c>
      <c r="BN72" s="22">
        <f t="shared" si="49"/>
        <v>0</v>
      </c>
      <c r="BO72" s="22">
        <f t="shared" si="49"/>
        <v>0</v>
      </c>
      <c r="BP72" s="22">
        <f t="shared" si="49"/>
        <v>0</v>
      </c>
      <c r="BQ72" s="22">
        <f t="shared" si="50"/>
        <v>0</v>
      </c>
      <c r="BR72" s="22">
        <f t="shared" si="50"/>
        <v>0</v>
      </c>
      <c r="BS72" s="22">
        <f t="shared" si="50"/>
        <v>0</v>
      </c>
      <c r="BT72" s="23">
        <f t="shared" si="7"/>
        <v>0.65571835000000001</v>
      </c>
      <c r="BU72" s="22">
        <f t="shared" si="51"/>
        <v>39343101</v>
      </c>
      <c r="BV72" s="22"/>
      <c r="BW72" s="22">
        <f>+'[7]FEBRERO 2017'!$H$1030</f>
        <v>19993101</v>
      </c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>
        <f>+'[5]AGOSTO 2017'!$H$3209-'[5]AGOSTO 2017'!$H$3212</f>
        <v>19350000</v>
      </c>
      <c r="CJ72" s="22"/>
      <c r="CK72" s="22"/>
      <c r="CL72" s="22"/>
      <c r="CM72" s="22"/>
      <c r="CN72" s="22"/>
      <c r="CO72" s="22"/>
      <c r="CP72" s="23">
        <f t="shared" si="58"/>
        <v>0.34428164999999999</v>
      </c>
      <c r="CQ72" s="22">
        <f t="shared" si="52"/>
        <v>20656899</v>
      </c>
      <c r="CR72" s="22">
        <f t="shared" si="56"/>
        <v>0</v>
      </c>
      <c r="CS72" s="22">
        <f t="shared" si="53"/>
        <v>6899</v>
      </c>
      <c r="CT72" s="22">
        <f t="shared" si="53"/>
        <v>0</v>
      </c>
      <c r="CU72" s="22">
        <f t="shared" si="53"/>
        <v>0</v>
      </c>
      <c r="CV72" s="22">
        <f t="shared" si="53"/>
        <v>0</v>
      </c>
      <c r="CW72" s="22">
        <f t="shared" si="53"/>
        <v>0</v>
      </c>
      <c r="CX72" s="22">
        <f t="shared" si="53"/>
        <v>0</v>
      </c>
      <c r="CY72" s="22">
        <f t="shared" si="53"/>
        <v>0</v>
      </c>
      <c r="CZ72" s="22">
        <f t="shared" si="53"/>
        <v>0</v>
      </c>
      <c r="DA72" s="22">
        <f t="shared" si="53"/>
        <v>0</v>
      </c>
      <c r="DB72" s="22">
        <f t="shared" si="53"/>
        <v>0</v>
      </c>
      <c r="DC72" s="22">
        <f t="shared" si="53"/>
        <v>0</v>
      </c>
      <c r="DD72" s="22">
        <f t="shared" si="53"/>
        <v>0</v>
      </c>
      <c r="DE72" s="22">
        <f t="shared" si="53"/>
        <v>20650000</v>
      </c>
      <c r="DF72" s="22">
        <f t="shared" si="53"/>
        <v>0</v>
      </c>
      <c r="DG72" s="22">
        <f t="shared" si="53"/>
        <v>0</v>
      </c>
      <c r="DH72" s="22">
        <f t="shared" si="53"/>
        <v>0</v>
      </c>
      <c r="DI72" s="22">
        <f t="shared" si="54"/>
        <v>0</v>
      </c>
      <c r="DJ72" s="22">
        <f t="shared" si="54"/>
        <v>0</v>
      </c>
      <c r="DK72" s="22">
        <f t="shared" si="54"/>
        <v>0</v>
      </c>
      <c r="DM72" s="26">
        <f t="shared" si="26"/>
        <v>60000000</v>
      </c>
      <c r="DN72" s="26">
        <f t="shared" si="27"/>
        <v>60000000</v>
      </c>
      <c r="DO72" s="26">
        <f t="shared" si="28"/>
        <v>60000000</v>
      </c>
    </row>
    <row r="73" spans="1:120" s="73" customFormat="1" ht="40.5" customHeight="1" x14ac:dyDescent="0.25">
      <c r="A73" s="199" t="s">
        <v>190</v>
      </c>
      <c r="B73" s="191" t="s">
        <v>233</v>
      </c>
      <c r="C73" s="70" t="s">
        <v>234</v>
      </c>
      <c r="D73" s="19" t="s">
        <v>235</v>
      </c>
      <c r="E73" s="28">
        <v>520</v>
      </c>
      <c r="F73" s="67" t="s">
        <v>107</v>
      </c>
      <c r="G73" s="22">
        <f t="shared" si="47"/>
        <v>5000000</v>
      </c>
      <c r="H73" s="25"/>
      <c r="I73" s="22">
        <v>5000000</v>
      </c>
      <c r="J73" s="25"/>
      <c r="K73" s="25"/>
      <c r="L73" s="71"/>
      <c r="M73" s="25"/>
      <c r="N73" s="25"/>
      <c r="O73" s="25"/>
      <c r="P73" s="25"/>
      <c r="Q73" s="25"/>
      <c r="R73" s="25"/>
      <c r="S73" s="25"/>
      <c r="T73" s="49"/>
      <c r="U73" s="22"/>
      <c r="V73" s="22"/>
      <c r="W73" s="22"/>
      <c r="X73" s="22"/>
      <c r="Y73" s="22"/>
      <c r="Z73" s="22"/>
      <c r="AA73" s="22"/>
      <c r="AB73" s="72">
        <f t="shared" si="1"/>
        <v>1</v>
      </c>
      <c r="AC73" s="22">
        <f t="shared" si="57"/>
        <v>5000000</v>
      </c>
      <c r="AD73" s="71"/>
      <c r="AE73" s="71">
        <f>+'[8]ABRIL 2017'!$K$1487</f>
        <v>5000000</v>
      </c>
      <c r="AF73" s="71"/>
      <c r="AG73" s="71"/>
      <c r="AH73" s="22"/>
      <c r="AI73" s="71"/>
      <c r="AJ73" s="71"/>
      <c r="AK73" s="71"/>
      <c r="AL73" s="71"/>
      <c r="AM73" s="71"/>
      <c r="AN73" s="71"/>
      <c r="AO73" s="71"/>
      <c r="AP73" s="71"/>
      <c r="AQ73" s="71"/>
      <c r="AR73" s="71"/>
      <c r="AS73" s="71"/>
      <c r="AT73" s="71"/>
      <c r="AU73" s="71"/>
      <c r="AV73" s="71"/>
      <c r="AW73" s="71"/>
      <c r="AX73" s="72">
        <f t="shared" si="3"/>
        <v>0</v>
      </c>
      <c r="AY73" s="22">
        <f t="shared" si="48"/>
        <v>0</v>
      </c>
      <c r="AZ73" s="22">
        <f t="shared" si="55"/>
        <v>0</v>
      </c>
      <c r="BA73" s="22">
        <f t="shared" si="49"/>
        <v>0</v>
      </c>
      <c r="BB73" s="22">
        <f t="shared" si="49"/>
        <v>0</v>
      </c>
      <c r="BC73" s="22">
        <f t="shared" si="49"/>
        <v>0</v>
      </c>
      <c r="BD73" s="22">
        <f t="shared" si="49"/>
        <v>0</v>
      </c>
      <c r="BE73" s="22">
        <f t="shared" si="49"/>
        <v>0</v>
      </c>
      <c r="BF73" s="22">
        <f t="shared" si="49"/>
        <v>0</v>
      </c>
      <c r="BG73" s="22">
        <f t="shared" si="49"/>
        <v>0</v>
      </c>
      <c r="BH73" s="22">
        <f t="shared" si="49"/>
        <v>0</v>
      </c>
      <c r="BI73" s="22">
        <f t="shared" si="49"/>
        <v>0</v>
      </c>
      <c r="BJ73" s="22">
        <f t="shared" si="49"/>
        <v>0</v>
      </c>
      <c r="BK73" s="22">
        <f t="shared" si="49"/>
        <v>0</v>
      </c>
      <c r="BL73" s="22">
        <f t="shared" si="49"/>
        <v>0</v>
      </c>
      <c r="BM73" s="22">
        <f t="shared" si="49"/>
        <v>0</v>
      </c>
      <c r="BN73" s="22">
        <f t="shared" si="49"/>
        <v>0</v>
      </c>
      <c r="BO73" s="22">
        <f t="shared" si="49"/>
        <v>0</v>
      </c>
      <c r="BP73" s="22">
        <f t="shared" si="49"/>
        <v>0</v>
      </c>
      <c r="BQ73" s="22">
        <f t="shared" si="50"/>
        <v>0</v>
      </c>
      <c r="BR73" s="22">
        <f t="shared" si="50"/>
        <v>0</v>
      </c>
      <c r="BS73" s="22">
        <f t="shared" si="50"/>
        <v>0</v>
      </c>
      <c r="BT73" s="72">
        <f t="shared" si="7"/>
        <v>0</v>
      </c>
      <c r="BU73" s="22">
        <f t="shared" si="51"/>
        <v>0</v>
      </c>
      <c r="BV73" s="71"/>
      <c r="BW73" s="71"/>
      <c r="BX73" s="71"/>
      <c r="BY73" s="71"/>
      <c r="BZ73" s="71"/>
      <c r="CA73" s="71"/>
      <c r="CB73" s="71"/>
      <c r="CC73" s="71"/>
      <c r="CD73" s="71"/>
      <c r="CE73" s="71"/>
      <c r="CF73" s="71"/>
      <c r="CG73" s="71"/>
      <c r="CH73" s="71"/>
      <c r="CI73" s="71"/>
      <c r="CJ73" s="71"/>
      <c r="CK73" s="71"/>
      <c r="CL73" s="71"/>
      <c r="CM73" s="71"/>
      <c r="CN73" s="71"/>
      <c r="CO73" s="71"/>
      <c r="CP73" s="72">
        <f t="shared" si="58"/>
        <v>1</v>
      </c>
      <c r="CQ73" s="22">
        <f t="shared" si="52"/>
        <v>5000000</v>
      </c>
      <c r="CR73" s="22">
        <f t="shared" si="56"/>
        <v>0</v>
      </c>
      <c r="CS73" s="22">
        <f t="shared" si="53"/>
        <v>5000000</v>
      </c>
      <c r="CT73" s="22">
        <f t="shared" si="53"/>
        <v>0</v>
      </c>
      <c r="CU73" s="22">
        <f t="shared" si="53"/>
        <v>0</v>
      </c>
      <c r="CV73" s="22">
        <f t="shared" si="53"/>
        <v>0</v>
      </c>
      <c r="CW73" s="22">
        <f t="shared" si="53"/>
        <v>0</v>
      </c>
      <c r="CX73" s="22">
        <f t="shared" si="53"/>
        <v>0</v>
      </c>
      <c r="CY73" s="22">
        <f t="shared" si="53"/>
        <v>0</v>
      </c>
      <c r="CZ73" s="22">
        <f t="shared" si="53"/>
        <v>0</v>
      </c>
      <c r="DA73" s="22">
        <f t="shared" si="53"/>
        <v>0</v>
      </c>
      <c r="DB73" s="22">
        <f t="shared" si="53"/>
        <v>0</v>
      </c>
      <c r="DC73" s="22">
        <f t="shared" si="53"/>
        <v>0</v>
      </c>
      <c r="DD73" s="22">
        <f t="shared" si="53"/>
        <v>0</v>
      </c>
      <c r="DE73" s="22">
        <f t="shared" si="53"/>
        <v>0</v>
      </c>
      <c r="DF73" s="22">
        <f t="shared" si="53"/>
        <v>0</v>
      </c>
      <c r="DG73" s="22">
        <f t="shared" si="53"/>
        <v>0</v>
      </c>
      <c r="DH73" s="22">
        <f t="shared" si="53"/>
        <v>0</v>
      </c>
      <c r="DI73" s="22">
        <f t="shared" si="54"/>
        <v>0</v>
      </c>
      <c r="DJ73" s="22">
        <f t="shared" si="54"/>
        <v>0</v>
      </c>
      <c r="DK73" s="22">
        <f t="shared" si="54"/>
        <v>0</v>
      </c>
      <c r="DM73" s="26">
        <f t="shared" si="26"/>
        <v>5000000</v>
      </c>
      <c r="DN73" s="26">
        <f t="shared" si="27"/>
        <v>5000000</v>
      </c>
      <c r="DO73" s="26">
        <f t="shared" si="28"/>
        <v>5000000</v>
      </c>
    </row>
    <row r="74" spans="1:120" s="73" customFormat="1" ht="53.25" customHeight="1" x14ac:dyDescent="0.25">
      <c r="A74" s="199"/>
      <c r="B74" s="190"/>
      <c r="C74" s="70" t="s">
        <v>236</v>
      </c>
      <c r="D74" s="19" t="s">
        <v>237</v>
      </c>
      <c r="E74" s="28">
        <v>520</v>
      </c>
      <c r="F74" s="67" t="s">
        <v>107</v>
      </c>
      <c r="G74" s="22">
        <f t="shared" si="47"/>
        <v>5000000</v>
      </c>
      <c r="H74" s="25"/>
      <c r="I74" s="22">
        <v>5000000</v>
      </c>
      <c r="J74" s="25"/>
      <c r="K74" s="51"/>
      <c r="L74" s="74"/>
      <c r="M74" s="25"/>
      <c r="N74" s="25"/>
      <c r="O74" s="25"/>
      <c r="P74" s="25"/>
      <c r="Q74" s="25"/>
      <c r="R74" s="25"/>
      <c r="S74" s="25"/>
      <c r="T74" s="49"/>
      <c r="U74" s="22"/>
      <c r="V74" s="22"/>
      <c r="W74" s="22"/>
      <c r="X74" s="22"/>
      <c r="Y74" s="22"/>
      <c r="Z74" s="22"/>
      <c r="AA74" s="22"/>
      <c r="AB74" s="72">
        <f t="shared" ref="AB74:AB114" si="63">+AC74/G74</f>
        <v>0</v>
      </c>
      <c r="AC74" s="22">
        <f t="shared" si="57"/>
        <v>0</v>
      </c>
      <c r="AD74" s="71"/>
      <c r="AE74" s="71"/>
      <c r="AF74" s="71"/>
      <c r="AG74" s="71"/>
      <c r="AH74" s="71"/>
      <c r="AI74" s="71"/>
      <c r="AJ74" s="71"/>
      <c r="AK74" s="71"/>
      <c r="AL74" s="71"/>
      <c r="AM74" s="71"/>
      <c r="AN74" s="71"/>
      <c r="AO74" s="71"/>
      <c r="AP74" s="71"/>
      <c r="AQ74" s="71"/>
      <c r="AR74" s="71"/>
      <c r="AS74" s="71"/>
      <c r="AT74" s="71"/>
      <c r="AU74" s="71"/>
      <c r="AV74" s="71"/>
      <c r="AW74" s="71"/>
      <c r="AX74" s="72">
        <f t="shared" ref="AX74:AX114" si="64">1-AB74</f>
        <v>1</v>
      </c>
      <c r="AY74" s="22">
        <f t="shared" si="48"/>
        <v>5000000</v>
      </c>
      <c r="AZ74" s="22">
        <f t="shared" si="55"/>
        <v>0</v>
      </c>
      <c r="BA74" s="22">
        <f t="shared" si="49"/>
        <v>5000000</v>
      </c>
      <c r="BB74" s="22">
        <f t="shared" si="49"/>
        <v>0</v>
      </c>
      <c r="BC74" s="22">
        <f t="shared" si="49"/>
        <v>0</v>
      </c>
      <c r="BD74" s="22">
        <f t="shared" si="49"/>
        <v>0</v>
      </c>
      <c r="BE74" s="22">
        <f t="shared" si="49"/>
        <v>0</v>
      </c>
      <c r="BF74" s="22">
        <f t="shared" si="49"/>
        <v>0</v>
      </c>
      <c r="BG74" s="22">
        <f t="shared" si="49"/>
        <v>0</v>
      </c>
      <c r="BH74" s="22">
        <f t="shared" si="49"/>
        <v>0</v>
      </c>
      <c r="BI74" s="22">
        <f t="shared" si="49"/>
        <v>0</v>
      </c>
      <c r="BJ74" s="22">
        <f t="shared" si="49"/>
        <v>0</v>
      </c>
      <c r="BK74" s="22">
        <f t="shared" si="49"/>
        <v>0</v>
      </c>
      <c r="BL74" s="22">
        <f t="shared" si="49"/>
        <v>0</v>
      </c>
      <c r="BM74" s="22">
        <f t="shared" si="49"/>
        <v>0</v>
      </c>
      <c r="BN74" s="22">
        <f t="shared" si="49"/>
        <v>0</v>
      </c>
      <c r="BO74" s="22">
        <f t="shared" si="49"/>
        <v>0</v>
      </c>
      <c r="BP74" s="22">
        <f t="shared" ref="BP74:BP78" si="65">X74-AT74</f>
        <v>0</v>
      </c>
      <c r="BQ74" s="22">
        <f t="shared" si="50"/>
        <v>0</v>
      </c>
      <c r="BR74" s="22">
        <f t="shared" si="50"/>
        <v>0</v>
      </c>
      <c r="BS74" s="22">
        <f t="shared" si="50"/>
        <v>0</v>
      </c>
      <c r="BT74" s="72">
        <f t="shared" ref="BT74:BT114" si="66">+BU74/G74</f>
        <v>0</v>
      </c>
      <c r="BU74" s="22">
        <f t="shared" si="51"/>
        <v>0</v>
      </c>
      <c r="BV74" s="71"/>
      <c r="BW74" s="71"/>
      <c r="BX74" s="71"/>
      <c r="BY74" s="71"/>
      <c r="BZ74" s="71"/>
      <c r="CA74" s="71"/>
      <c r="CB74" s="71"/>
      <c r="CC74" s="71"/>
      <c r="CD74" s="71"/>
      <c r="CE74" s="71"/>
      <c r="CF74" s="71"/>
      <c r="CG74" s="71"/>
      <c r="CH74" s="71"/>
      <c r="CI74" s="71"/>
      <c r="CJ74" s="71"/>
      <c r="CK74" s="71"/>
      <c r="CL74" s="71"/>
      <c r="CM74" s="71"/>
      <c r="CN74" s="71"/>
      <c r="CO74" s="71"/>
      <c r="CP74" s="72">
        <f t="shared" si="58"/>
        <v>1</v>
      </c>
      <c r="CQ74" s="22">
        <f t="shared" si="52"/>
        <v>5000000</v>
      </c>
      <c r="CR74" s="22">
        <f t="shared" si="56"/>
        <v>0</v>
      </c>
      <c r="CS74" s="22">
        <f t="shared" si="53"/>
        <v>5000000</v>
      </c>
      <c r="CT74" s="22">
        <f t="shared" si="53"/>
        <v>0</v>
      </c>
      <c r="CU74" s="22">
        <f t="shared" si="53"/>
        <v>0</v>
      </c>
      <c r="CV74" s="22">
        <f t="shared" si="53"/>
        <v>0</v>
      </c>
      <c r="CW74" s="22">
        <f t="shared" si="53"/>
        <v>0</v>
      </c>
      <c r="CX74" s="22">
        <f t="shared" si="53"/>
        <v>0</v>
      </c>
      <c r="CY74" s="22">
        <f t="shared" si="53"/>
        <v>0</v>
      </c>
      <c r="CZ74" s="22">
        <f t="shared" si="53"/>
        <v>0</v>
      </c>
      <c r="DA74" s="22">
        <f t="shared" si="53"/>
        <v>0</v>
      </c>
      <c r="DB74" s="22">
        <f t="shared" si="53"/>
        <v>0</v>
      </c>
      <c r="DC74" s="22">
        <f t="shared" si="53"/>
        <v>0</v>
      </c>
      <c r="DD74" s="22">
        <f t="shared" si="53"/>
        <v>0</v>
      </c>
      <c r="DE74" s="22">
        <f t="shared" si="53"/>
        <v>0</v>
      </c>
      <c r="DF74" s="22">
        <f t="shared" si="53"/>
        <v>0</v>
      </c>
      <c r="DG74" s="22">
        <f t="shared" si="53"/>
        <v>0</v>
      </c>
      <c r="DH74" s="22">
        <f t="shared" ref="DH74:DH78" si="67">X74-CL74</f>
        <v>0</v>
      </c>
      <c r="DI74" s="22">
        <f t="shared" si="54"/>
        <v>0</v>
      </c>
      <c r="DJ74" s="22">
        <f t="shared" si="54"/>
        <v>0</v>
      </c>
      <c r="DK74" s="22">
        <f t="shared" si="54"/>
        <v>0</v>
      </c>
      <c r="DM74" s="26">
        <f t="shared" si="26"/>
        <v>5000000</v>
      </c>
      <c r="DN74" s="26">
        <f t="shared" si="27"/>
        <v>5000000</v>
      </c>
      <c r="DO74" s="26">
        <f t="shared" si="28"/>
        <v>5000000</v>
      </c>
    </row>
    <row r="75" spans="1:120" ht="33" customHeight="1" x14ac:dyDescent="0.25">
      <c r="A75" s="199"/>
      <c r="B75" s="191" t="s">
        <v>238</v>
      </c>
      <c r="C75" s="30" t="s">
        <v>239</v>
      </c>
      <c r="D75" s="19" t="s">
        <v>240</v>
      </c>
      <c r="E75" s="20">
        <v>520</v>
      </c>
      <c r="F75" s="67" t="s">
        <v>107</v>
      </c>
      <c r="G75" s="22">
        <f t="shared" si="47"/>
        <v>0</v>
      </c>
      <c r="H75" s="33"/>
      <c r="I75" s="22">
        <f>6000000-6000000</f>
        <v>0</v>
      </c>
      <c r="J75" s="22"/>
      <c r="K75" s="49"/>
      <c r="L75" s="74"/>
      <c r="M75" s="33"/>
      <c r="N75" s="33"/>
      <c r="O75" s="33"/>
      <c r="P75" s="33"/>
      <c r="Q75" s="33"/>
      <c r="R75" s="25"/>
      <c r="S75" s="33"/>
      <c r="T75" s="49"/>
      <c r="U75" s="22"/>
      <c r="V75" s="22"/>
      <c r="W75" s="22"/>
      <c r="X75" s="22"/>
      <c r="Y75" s="22"/>
      <c r="Z75" s="22"/>
      <c r="AA75" s="22"/>
      <c r="AB75" s="23" t="e">
        <f t="shared" si="63"/>
        <v>#DIV/0!</v>
      </c>
      <c r="AC75" s="22">
        <f t="shared" si="57"/>
        <v>0</v>
      </c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3" t="e">
        <f t="shared" si="64"/>
        <v>#DIV/0!</v>
      </c>
      <c r="AY75" s="22">
        <f t="shared" si="48"/>
        <v>0</v>
      </c>
      <c r="AZ75" s="22">
        <f t="shared" si="55"/>
        <v>0</v>
      </c>
      <c r="BA75" s="22">
        <f t="shared" si="55"/>
        <v>0</v>
      </c>
      <c r="BB75" s="22">
        <f t="shared" si="55"/>
        <v>0</v>
      </c>
      <c r="BC75" s="22">
        <f t="shared" si="55"/>
        <v>0</v>
      </c>
      <c r="BD75" s="22">
        <f t="shared" si="55"/>
        <v>0</v>
      </c>
      <c r="BE75" s="22">
        <f t="shared" si="55"/>
        <v>0</v>
      </c>
      <c r="BF75" s="22">
        <f t="shared" si="55"/>
        <v>0</v>
      </c>
      <c r="BG75" s="22">
        <f t="shared" si="55"/>
        <v>0</v>
      </c>
      <c r="BH75" s="22">
        <f t="shared" si="55"/>
        <v>0</v>
      </c>
      <c r="BI75" s="22">
        <f t="shared" si="55"/>
        <v>0</v>
      </c>
      <c r="BJ75" s="22">
        <f t="shared" si="55"/>
        <v>0</v>
      </c>
      <c r="BK75" s="22">
        <f t="shared" si="55"/>
        <v>0</v>
      </c>
      <c r="BL75" s="22">
        <f t="shared" si="55"/>
        <v>0</v>
      </c>
      <c r="BM75" s="22">
        <f t="shared" si="55"/>
        <v>0</v>
      </c>
      <c r="BN75" s="22">
        <f t="shared" si="55"/>
        <v>0</v>
      </c>
      <c r="BO75" s="22">
        <f t="shared" si="55"/>
        <v>0</v>
      </c>
      <c r="BP75" s="22">
        <f t="shared" si="65"/>
        <v>0</v>
      </c>
      <c r="BQ75" s="22">
        <f t="shared" si="50"/>
        <v>0</v>
      </c>
      <c r="BR75" s="22">
        <f t="shared" si="50"/>
        <v>0</v>
      </c>
      <c r="BS75" s="22">
        <f t="shared" si="50"/>
        <v>0</v>
      </c>
      <c r="BT75" s="23" t="e">
        <f t="shared" si="66"/>
        <v>#DIV/0!</v>
      </c>
      <c r="BU75" s="22">
        <f t="shared" si="51"/>
        <v>0</v>
      </c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72" t="e">
        <f t="shared" si="58"/>
        <v>#DIV/0!</v>
      </c>
      <c r="CQ75" s="22">
        <f t="shared" si="52"/>
        <v>0</v>
      </c>
      <c r="CR75" s="22">
        <f t="shared" si="56"/>
        <v>0</v>
      </c>
      <c r="CS75" s="22">
        <f t="shared" si="56"/>
        <v>0</v>
      </c>
      <c r="CT75" s="22">
        <f t="shared" si="56"/>
        <v>0</v>
      </c>
      <c r="CU75" s="22">
        <f t="shared" si="56"/>
        <v>0</v>
      </c>
      <c r="CV75" s="22">
        <f t="shared" si="56"/>
        <v>0</v>
      </c>
      <c r="CW75" s="22">
        <f t="shared" si="56"/>
        <v>0</v>
      </c>
      <c r="CX75" s="22">
        <f t="shared" si="56"/>
        <v>0</v>
      </c>
      <c r="CY75" s="22">
        <f t="shared" si="56"/>
        <v>0</v>
      </c>
      <c r="CZ75" s="22">
        <f t="shared" si="56"/>
        <v>0</v>
      </c>
      <c r="DA75" s="22">
        <f t="shared" si="56"/>
        <v>0</v>
      </c>
      <c r="DB75" s="22">
        <f t="shared" si="56"/>
        <v>0</v>
      </c>
      <c r="DC75" s="22">
        <f t="shared" si="56"/>
        <v>0</v>
      </c>
      <c r="DD75" s="22">
        <f t="shared" si="56"/>
        <v>0</v>
      </c>
      <c r="DE75" s="22">
        <f t="shared" si="56"/>
        <v>0</v>
      </c>
      <c r="DF75" s="22">
        <f t="shared" si="56"/>
        <v>0</v>
      </c>
      <c r="DG75" s="22">
        <f t="shared" si="56"/>
        <v>0</v>
      </c>
      <c r="DH75" s="22">
        <f t="shared" si="67"/>
        <v>0</v>
      </c>
      <c r="DI75" s="22">
        <f t="shared" si="54"/>
        <v>0</v>
      </c>
      <c r="DJ75" s="22">
        <f t="shared" si="54"/>
        <v>0</v>
      </c>
      <c r="DK75" s="22">
        <f t="shared" si="54"/>
        <v>0</v>
      </c>
      <c r="DM75" s="26">
        <f t="shared" si="26"/>
        <v>0</v>
      </c>
      <c r="DN75" s="26">
        <f t="shared" si="27"/>
        <v>0</v>
      </c>
      <c r="DO75" s="26">
        <f t="shared" si="28"/>
        <v>0</v>
      </c>
      <c r="DP75" s="35"/>
    </row>
    <row r="76" spans="1:120" ht="45" x14ac:dyDescent="0.25">
      <c r="A76" s="199"/>
      <c r="B76" s="189"/>
      <c r="C76" s="30" t="s">
        <v>241</v>
      </c>
      <c r="D76" s="19" t="s">
        <v>242</v>
      </c>
      <c r="E76" s="20">
        <v>520</v>
      </c>
      <c r="F76" s="67" t="s">
        <v>107</v>
      </c>
      <c r="G76" s="22">
        <f t="shared" si="47"/>
        <v>200000</v>
      </c>
      <c r="H76" s="33"/>
      <c r="I76" s="22">
        <f>6000000-5800000</f>
        <v>200000</v>
      </c>
      <c r="J76" s="22"/>
      <c r="K76" s="49"/>
      <c r="L76" s="74"/>
      <c r="M76" s="33"/>
      <c r="N76" s="33"/>
      <c r="O76" s="33"/>
      <c r="P76" s="33"/>
      <c r="Q76" s="33"/>
      <c r="R76" s="25"/>
      <c r="S76" s="33"/>
      <c r="T76" s="49"/>
      <c r="U76" s="22"/>
      <c r="V76" s="22"/>
      <c r="W76" s="22"/>
      <c r="X76" s="22"/>
      <c r="Y76" s="22"/>
      <c r="Z76" s="22"/>
      <c r="AA76" s="22"/>
      <c r="AB76" s="23">
        <f t="shared" si="63"/>
        <v>1</v>
      </c>
      <c r="AC76" s="22">
        <f t="shared" si="57"/>
        <v>200000</v>
      </c>
      <c r="AD76" s="22"/>
      <c r="AE76" s="22">
        <f>+'[3]JUNIO 2017'!$K$2152</f>
        <v>200000</v>
      </c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3">
        <f t="shared" si="64"/>
        <v>0</v>
      </c>
      <c r="AY76" s="22">
        <f t="shared" si="48"/>
        <v>0</v>
      </c>
      <c r="AZ76" s="22">
        <f t="shared" si="55"/>
        <v>0</v>
      </c>
      <c r="BA76" s="22">
        <f t="shared" si="55"/>
        <v>0</v>
      </c>
      <c r="BB76" s="22">
        <f t="shared" si="55"/>
        <v>0</v>
      </c>
      <c r="BC76" s="22">
        <f t="shared" si="55"/>
        <v>0</v>
      </c>
      <c r="BD76" s="22">
        <f t="shared" si="55"/>
        <v>0</v>
      </c>
      <c r="BE76" s="22">
        <f t="shared" si="55"/>
        <v>0</v>
      </c>
      <c r="BF76" s="22">
        <f t="shared" si="55"/>
        <v>0</v>
      </c>
      <c r="BG76" s="22">
        <f t="shared" si="55"/>
        <v>0</v>
      </c>
      <c r="BH76" s="22">
        <f t="shared" si="55"/>
        <v>0</v>
      </c>
      <c r="BI76" s="22">
        <f t="shared" si="55"/>
        <v>0</v>
      </c>
      <c r="BJ76" s="22">
        <f t="shared" si="55"/>
        <v>0</v>
      </c>
      <c r="BK76" s="22">
        <f t="shared" si="55"/>
        <v>0</v>
      </c>
      <c r="BL76" s="22">
        <f t="shared" si="55"/>
        <v>0</v>
      </c>
      <c r="BM76" s="22">
        <f t="shared" si="55"/>
        <v>0</v>
      </c>
      <c r="BN76" s="22">
        <f t="shared" si="55"/>
        <v>0</v>
      </c>
      <c r="BO76" s="22">
        <f t="shared" si="55"/>
        <v>0</v>
      </c>
      <c r="BP76" s="22">
        <f t="shared" si="65"/>
        <v>0</v>
      </c>
      <c r="BQ76" s="22">
        <f t="shared" si="50"/>
        <v>0</v>
      </c>
      <c r="BR76" s="22">
        <f t="shared" si="50"/>
        <v>0</v>
      </c>
      <c r="BS76" s="22">
        <f t="shared" si="50"/>
        <v>0</v>
      </c>
      <c r="BT76" s="23">
        <f t="shared" si="66"/>
        <v>1</v>
      </c>
      <c r="BU76" s="22">
        <f t="shared" si="51"/>
        <v>200000</v>
      </c>
      <c r="BV76" s="22"/>
      <c r="BW76" s="22">
        <f>+'[3]JUNIO 2017'!$H$2150</f>
        <v>200000</v>
      </c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72">
        <f t="shared" si="58"/>
        <v>0</v>
      </c>
      <c r="CQ76" s="22">
        <f t="shared" si="52"/>
        <v>0</v>
      </c>
      <c r="CR76" s="22">
        <f t="shared" si="56"/>
        <v>0</v>
      </c>
      <c r="CS76" s="22">
        <f t="shared" si="56"/>
        <v>0</v>
      </c>
      <c r="CT76" s="22">
        <f t="shared" si="56"/>
        <v>0</v>
      </c>
      <c r="CU76" s="22">
        <f t="shared" si="56"/>
        <v>0</v>
      </c>
      <c r="CV76" s="22">
        <f t="shared" si="56"/>
        <v>0</v>
      </c>
      <c r="CW76" s="22">
        <f t="shared" si="56"/>
        <v>0</v>
      </c>
      <c r="CX76" s="22">
        <f t="shared" si="56"/>
        <v>0</v>
      </c>
      <c r="CY76" s="22">
        <f t="shared" si="56"/>
        <v>0</v>
      </c>
      <c r="CZ76" s="22">
        <f t="shared" si="56"/>
        <v>0</v>
      </c>
      <c r="DA76" s="22">
        <f t="shared" si="56"/>
        <v>0</v>
      </c>
      <c r="DB76" s="22">
        <f t="shared" si="56"/>
        <v>0</v>
      </c>
      <c r="DC76" s="22">
        <f t="shared" si="56"/>
        <v>0</v>
      </c>
      <c r="DD76" s="22">
        <f t="shared" si="56"/>
        <v>0</v>
      </c>
      <c r="DE76" s="22">
        <f t="shared" si="56"/>
        <v>0</v>
      </c>
      <c r="DF76" s="22">
        <f t="shared" si="56"/>
        <v>0</v>
      </c>
      <c r="DG76" s="22">
        <f t="shared" si="56"/>
        <v>0</v>
      </c>
      <c r="DH76" s="22">
        <f t="shared" si="67"/>
        <v>0</v>
      </c>
      <c r="DI76" s="22">
        <f t="shared" si="54"/>
        <v>0</v>
      </c>
      <c r="DJ76" s="22">
        <f t="shared" si="54"/>
        <v>0</v>
      </c>
      <c r="DK76" s="22">
        <f t="shared" si="54"/>
        <v>0</v>
      </c>
      <c r="DM76" s="26">
        <f t="shared" si="26"/>
        <v>200000</v>
      </c>
      <c r="DN76" s="26">
        <f t="shared" si="27"/>
        <v>200000</v>
      </c>
      <c r="DO76" s="26">
        <f t="shared" si="28"/>
        <v>200000</v>
      </c>
    </row>
    <row r="77" spans="1:120" ht="33" customHeight="1" x14ac:dyDescent="0.25">
      <c r="A77" s="199"/>
      <c r="B77" s="189"/>
      <c r="C77" s="30" t="s">
        <v>243</v>
      </c>
      <c r="D77" s="19" t="s">
        <v>244</v>
      </c>
      <c r="E77" s="20">
        <v>520</v>
      </c>
      <c r="F77" s="67" t="s">
        <v>204</v>
      </c>
      <c r="G77" s="22">
        <f t="shared" si="47"/>
        <v>286800000</v>
      </c>
      <c r="H77" s="33"/>
      <c r="I77" s="22">
        <f>200000000+6000000+5800000</f>
        <v>211800000</v>
      </c>
      <c r="J77" s="33"/>
      <c r="K77" s="50"/>
      <c r="L77" s="74"/>
      <c r="M77" s="33"/>
      <c r="N77" s="33"/>
      <c r="O77" s="33"/>
      <c r="P77" s="33"/>
      <c r="Q77" s="33"/>
      <c r="R77" s="25"/>
      <c r="S77" s="33"/>
      <c r="T77" s="74"/>
      <c r="U77" s="22">
        <v>60000000</v>
      </c>
      <c r="V77" s="22">
        <v>12000000</v>
      </c>
      <c r="W77" s="22"/>
      <c r="X77" s="22"/>
      <c r="Y77" s="22"/>
      <c r="Z77" s="22"/>
      <c r="AA77" s="22">
        <f>3000000</f>
        <v>3000000</v>
      </c>
      <c r="AB77" s="23">
        <f t="shared" si="63"/>
        <v>0.95109407252440725</v>
      </c>
      <c r="AC77" s="22">
        <f t="shared" si="57"/>
        <v>272773780</v>
      </c>
      <c r="AD77" s="22"/>
      <c r="AE77" s="22">
        <f>+'[5]AGOSTO 2017'!$K$3249</f>
        <v>199651372</v>
      </c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>
        <f>+'[6]JULIO 2017'!$W$2854</f>
        <v>60000000</v>
      </c>
      <c r="AR77" s="22">
        <f>+'[3]JUNIO 2017'!$X$2159</f>
        <v>12000000</v>
      </c>
      <c r="AS77" s="22"/>
      <c r="AT77" s="22"/>
      <c r="AU77" s="22"/>
      <c r="AV77" s="22"/>
      <c r="AW77" s="22">
        <f>+'[5]AGOSTO 2017'!$AC$3249</f>
        <v>1122408</v>
      </c>
      <c r="AX77" s="23">
        <f t="shared" si="64"/>
        <v>4.8905927475592748E-2</v>
      </c>
      <c r="AY77" s="22">
        <f t="shared" si="48"/>
        <v>14026220</v>
      </c>
      <c r="AZ77" s="22">
        <f t="shared" si="55"/>
        <v>0</v>
      </c>
      <c r="BA77" s="22">
        <f t="shared" si="55"/>
        <v>12148628</v>
      </c>
      <c r="BB77" s="22">
        <f t="shared" si="55"/>
        <v>0</v>
      </c>
      <c r="BC77" s="22">
        <f t="shared" si="55"/>
        <v>0</v>
      </c>
      <c r="BD77" s="22">
        <f t="shared" si="55"/>
        <v>0</v>
      </c>
      <c r="BE77" s="22">
        <f t="shared" si="55"/>
        <v>0</v>
      </c>
      <c r="BF77" s="22">
        <f t="shared" si="55"/>
        <v>0</v>
      </c>
      <c r="BG77" s="22">
        <f t="shared" si="55"/>
        <v>0</v>
      </c>
      <c r="BH77" s="22">
        <f t="shared" si="55"/>
        <v>0</v>
      </c>
      <c r="BI77" s="22">
        <f t="shared" si="55"/>
        <v>0</v>
      </c>
      <c r="BJ77" s="22">
        <f t="shared" si="55"/>
        <v>0</v>
      </c>
      <c r="BK77" s="22">
        <f t="shared" si="55"/>
        <v>0</v>
      </c>
      <c r="BL77" s="22">
        <f t="shared" si="55"/>
        <v>0</v>
      </c>
      <c r="BM77" s="22">
        <f t="shared" si="55"/>
        <v>0</v>
      </c>
      <c r="BN77" s="22">
        <f t="shared" si="55"/>
        <v>0</v>
      </c>
      <c r="BO77" s="22">
        <f t="shared" si="55"/>
        <v>0</v>
      </c>
      <c r="BP77" s="22">
        <f t="shared" si="65"/>
        <v>0</v>
      </c>
      <c r="BQ77" s="22">
        <f t="shared" si="50"/>
        <v>0</v>
      </c>
      <c r="BR77" s="22">
        <f t="shared" si="50"/>
        <v>0</v>
      </c>
      <c r="BS77" s="22">
        <f t="shared" si="50"/>
        <v>1877592</v>
      </c>
      <c r="BT77" s="23">
        <f t="shared" si="66"/>
        <v>0.83723710599721057</v>
      </c>
      <c r="BU77" s="22">
        <f t="shared" si="51"/>
        <v>240119602</v>
      </c>
      <c r="BV77" s="22"/>
      <c r="BW77" s="22">
        <f>+'[5]AGOSTO 2017'!$H$3250+'[5]AGOSTO 2017'!$H$3256+'[5]AGOSTO 2017'!$H$3258+'[5]AGOSTO 2017'!$H$3260+'[5]AGOSTO 2017'!$H$3262+'[5]AGOSTO 2017'!$H$3264+'[5]AGOSTO 2017'!$H$3266+'[5]AGOSTO 2017'!$H$3268+'[5]AGOSTO 2017'!$H$3270+'[5]AGOSTO 2017'!$H$3273+'[5]AGOSTO 2017'!$H$3280+'[5]AGOSTO 2017'!$H$3281+'[5]AGOSTO 2017'!$H$3285+'[5]AGOSTO 2017'!$H$3286+'[5]AGOSTO 2017'!$H$3289+'[5]AGOSTO 2017'!$H$3291+'[5]AGOSTO 2017'!$H$3299</f>
        <v>197706434</v>
      </c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>
        <f>+'[5]AGOSTO 2017'!$H$3300</f>
        <v>41290760</v>
      </c>
      <c r="CJ77" s="22"/>
      <c r="CK77" s="22"/>
      <c r="CL77" s="22"/>
      <c r="CM77" s="22"/>
      <c r="CN77" s="22"/>
      <c r="CO77" s="22">
        <f>+'[5]AGOSTO 2017'!$H$3306</f>
        <v>1122408</v>
      </c>
      <c r="CP77" s="72">
        <f t="shared" si="58"/>
        <v>0.16276289400278943</v>
      </c>
      <c r="CQ77" s="22">
        <f t="shared" si="52"/>
        <v>46680398</v>
      </c>
      <c r="CR77" s="22">
        <f t="shared" si="56"/>
        <v>0</v>
      </c>
      <c r="CS77" s="22">
        <f t="shared" si="56"/>
        <v>14093566</v>
      </c>
      <c r="CT77" s="22">
        <f t="shared" si="56"/>
        <v>0</v>
      </c>
      <c r="CU77" s="22">
        <f t="shared" si="56"/>
        <v>0</v>
      </c>
      <c r="CV77" s="22">
        <f t="shared" si="56"/>
        <v>0</v>
      </c>
      <c r="CW77" s="22">
        <f t="shared" si="56"/>
        <v>0</v>
      </c>
      <c r="CX77" s="22">
        <f t="shared" si="56"/>
        <v>0</v>
      </c>
      <c r="CY77" s="22">
        <f t="shared" si="56"/>
        <v>0</v>
      </c>
      <c r="CZ77" s="22">
        <f t="shared" si="56"/>
        <v>0</v>
      </c>
      <c r="DA77" s="22">
        <f t="shared" si="56"/>
        <v>0</v>
      </c>
      <c r="DB77" s="22">
        <f t="shared" si="56"/>
        <v>0</v>
      </c>
      <c r="DC77" s="22">
        <f t="shared" si="56"/>
        <v>0</v>
      </c>
      <c r="DD77" s="22">
        <f t="shared" si="56"/>
        <v>0</v>
      </c>
      <c r="DE77" s="22">
        <f t="shared" si="56"/>
        <v>18709240</v>
      </c>
      <c r="DF77" s="22">
        <f t="shared" si="56"/>
        <v>12000000</v>
      </c>
      <c r="DG77" s="22">
        <f t="shared" si="56"/>
        <v>0</v>
      </c>
      <c r="DH77" s="22">
        <f t="shared" si="67"/>
        <v>0</v>
      </c>
      <c r="DI77" s="22">
        <f t="shared" si="54"/>
        <v>0</v>
      </c>
      <c r="DJ77" s="22">
        <f t="shared" si="54"/>
        <v>0</v>
      </c>
      <c r="DK77" s="22">
        <f t="shared" si="54"/>
        <v>1877592</v>
      </c>
      <c r="DM77" s="26">
        <f t="shared" si="26"/>
        <v>286800000</v>
      </c>
      <c r="DN77" s="26">
        <f t="shared" si="27"/>
        <v>286800000</v>
      </c>
      <c r="DO77" s="26">
        <f t="shared" si="28"/>
        <v>286800000</v>
      </c>
    </row>
    <row r="78" spans="1:120" ht="48" x14ac:dyDescent="0.25">
      <c r="A78" s="199"/>
      <c r="B78" s="189"/>
      <c r="C78" s="75" t="s">
        <v>245</v>
      </c>
      <c r="D78" s="19" t="s">
        <v>246</v>
      </c>
      <c r="E78" s="20">
        <v>520</v>
      </c>
      <c r="F78" s="67" t="s">
        <v>247</v>
      </c>
      <c r="G78" s="22">
        <f t="shared" si="47"/>
        <v>65967589</v>
      </c>
      <c r="H78" s="76"/>
      <c r="I78" s="22"/>
      <c r="J78" s="76"/>
      <c r="K78" s="77"/>
      <c r="L78" s="74"/>
      <c r="M78" s="76"/>
      <c r="N78" s="76"/>
      <c r="O78" s="76"/>
      <c r="P78" s="76"/>
      <c r="Q78" s="76"/>
      <c r="R78" s="78"/>
      <c r="S78" s="76"/>
      <c r="T78" s="74"/>
      <c r="U78" s="40"/>
      <c r="V78" s="40"/>
      <c r="W78" s="40"/>
      <c r="X78" s="40"/>
      <c r="Y78" s="40"/>
      <c r="Z78" s="40"/>
      <c r="AA78" s="40">
        <f>22029791+11937798+30000000+2000000</f>
        <v>65967589</v>
      </c>
      <c r="AB78" s="23">
        <f t="shared" si="63"/>
        <v>0.70270743106891476</v>
      </c>
      <c r="AC78" s="22">
        <f t="shared" si="57"/>
        <v>46355915</v>
      </c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>
        <f>+'[5]AGOSTO 2017'!$AC$3311</f>
        <v>46355915</v>
      </c>
      <c r="AX78" s="23">
        <f t="shared" si="64"/>
        <v>0.29729256893108524</v>
      </c>
      <c r="AY78" s="22">
        <f t="shared" si="48"/>
        <v>19611674</v>
      </c>
      <c r="AZ78" s="22">
        <f t="shared" si="55"/>
        <v>0</v>
      </c>
      <c r="BA78" s="22">
        <f t="shared" si="55"/>
        <v>0</v>
      </c>
      <c r="BB78" s="22">
        <f t="shared" si="55"/>
        <v>0</v>
      </c>
      <c r="BC78" s="22">
        <f t="shared" si="55"/>
        <v>0</v>
      </c>
      <c r="BD78" s="22">
        <f t="shared" si="55"/>
        <v>0</v>
      </c>
      <c r="BE78" s="22">
        <f t="shared" si="55"/>
        <v>0</v>
      </c>
      <c r="BF78" s="22">
        <f t="shared" si="55"/>
        <v>0</v>
      </c>
      <c r="BG78" s="22">
        <f t="shared" si="55"/>
        <v>0</v>
      </c>
      <c r="BH78" s="22">
        <f t="shared" si="55"/>
        <v>0</v>
      </c>
      <c r="BI78" s="22">
        <f t="shared" si="55"/>
        <v>0</v>
      </c>
      <c r="BJ78" s="22">
        <f t="shared" si="55"/>
        <v>0</v>
      </c>
      <c r="BK78" s="22">
        <f t="shared" si="55"/>
        <v>0</v>
      </c>
      <c r="BL78" s="22">
        <f t="shared" si="55"/>
        <v>0</v>
      </c>
      <c r="BM78" s="22">
        <f t="shared" si="55"/>
        <v>0</v>
      </c>
      <c r="BN78" s="22">
        <f t="shared" si="55"/>
        <v>0</v>
      </c>
      <c r="BO78" s="22">
        <f t="shared" si="55"/>
        <v>0</v>
      </c>
      <c r="BP78" s="22">
        <f t="shared" si="65"/>
        <v>0</v>
      </c>
      <c r="BQ78" s="22">
        <f t="shared" si="50"/>
        <v>0</v>
      </c>
      <c r="BR78" s="22">
        <f t="shared" si="50"/>
        <v>0</v>
      </c>
      <c r="BS78" s="22">
        <f t="shared" si="50"/>
        <v>19611674</v>
      </c>
      <c r="BT78" s="23">
        <f t="shared" si="66"/>
        <v>0.18933785801994371</v>
      </c>
      <c r="BU78" s="22">
        <f t="shared" si="51"/>
        <v>12490162</v>
      </c>
      <c r="BV78" s="40"/>
      <c r="BW78" s="40"/>
      <c r="BX78" s="40"/>
      <c r="BY78" s="40"/>
      <c r="BZ78" s="40"/>
      <c r="CA78" s="40"/>
      <c r="CB78" s="40"/>
      <c r="CC78" s="40"/>
      <c r="CD78" s="40"/>
      <c r="CE78" s="40"/>
      <c r="CF78" s="40"/>
      <c r="CG78" s="40"/>
      <c r="CH78" s="40"/>
      <c r="CI78" s="40"/>
      <c r="CJ78" s="40"/>
      <c r="CK78" s="40"/>
      <c r="CL78" s="40"/>
      <c r="CM78" s="40"/>
      <c r="CN78" s="40"/>
      <c r="CO78" s="40">
        <f>+'[5]AGOSTO 2017'!$H$3309</f>
        <v>12490162</v>
      </c>
      <c r="CP78" s="72">
        <f t="shared" si="58"/>
        <v>0.81066214198005626</v>
      </c>
      <c r="CQ78" s="22">
        <f t="shared" si="52"/>
        <v>53477427</v>
      </c>
      <c r="CR78" s="22">
        <f t="shared" si="56"/>
        <v>0</v>
      </c>
      <c r="CS78" s="22">
        <f t="shared" si="56"/>
        <v>0</v>
      </c>
      <c r="CT78" s="22">
        <f t="shared" si="56"/>
        <v>0</v>
      </c>
      <c r="CU78" s="22">
        <f t="shared" si="56"/>
        <v>0</v>
      </c>
      <c r="CV78" s="22">
        <f t="shared" si="56"/>
        <v>0</v>
      </c>
      <c r="CW78" s="22">
        <f t="shared" si="56"/>
        <v>0</v>
      </c>
      <c r="CX78" s="22">
        <f t="shared" si="56"/>
        <v>0</v>
      </c>
      <c r="CY78" s="22">
        <f t="shared" si="56"/>
        <v>0</v>
      </c>
      <c r="CZ78" s="22">
        <f t="shared" si="56"/>
        <v>0</v>
      </c>
      <c r="DA78" s="22">
        <f t="shared" si="56"/>
        <v>0</v>
      </c>
      <c r="DB78" s="22">
        <f t="shared" si="56"/>
        <v>0</v>
      </c>
      <c r="DC78" s="22">
        <f t="shared" si="56"/>
        <v>0</v>
      </c>
      <c r="DD78" s="22">
        <f t="shared" si="56"/>
        <v>0</v>
      </c>
      <c r="DE78" s="22">
        <f t="shared" si="56"/>
        <v>0</v>
      </c>
      <c r="DF78" s="22">
        <f t="shared" si="56"/>
        <v>0</v>
      </c>
      <c r="DG78" s="22">
        <f t="shared" si="56"/>
        <v>0</v>
      </c>
      <c r="DH78" s="22">
        <f t="shared" si="67"/>
        <v>0</v>
      </c>
      <c r="DI78" s="22">
        <f t="shared" si="54"/>
        <v>0</v>
      </c>
      <c r="DJ78" s="22">
        <f t="shared" si="54"/>
        <v>0</v>
      </c>
      <c r="DK78" s="22">
        <f t="shared" si="54"/>
        <v>53477427</v>
      </c>
      <c r="DM78" s="26">
        <f t="shared" si="26"/>
        <v>65967589</v>
      </c>
      <c r="DN78" s="26">
        <f t="shared" si="27"/>
        <v>65967589</v>
      </c>
      <c r="DO78" s="26">
        <f t="shared" si="28"/>
        <v>65967589</v>
      </c>
    </row>
    <row r="79" spans="1:120" s="47" customFormat="1" ht="20.25" customHeight="1" thickBot="1" x14ac:dyDescent="0.3">
      <c r="A79" s="79"/>
      <c r="B79" s="193" t="s">
        <v>248</v>
      </c>
      <c r="C79" s="194"/>
      <c r="D79" s="194"/>
      <c r="E79" s="194"/>
      <c r="F79" s="195"/>
      <c r="G79" s="62">
        <f>SUM(G58:G78)</f>
        <v>2532390317</v>
      </c>
      <c r="H79" s="62">
        <f>SUM(H58:H78)</f>
        <v>0</v>
      </c>
      <c r="I79" s="62">
        <f>SUM(I58:I78)</f>
        <v>422000000</v>
      </c>
      <c r="J79" s="62">
        <f>SUM(J58:J77)</f>
        <v>0</v>
      </c>
      <c r="K79" s="62">
        <f>SUM(K58:K77)</f>
        <v>0</v>
      </c>
      <c r="L79" s="62">
        <f>SUM(L58:L78)</f>
        <v>0</v>
      </c>
      <c r="M79" s="62">
        <f>SUM(M58:M78)</f>
        <v>0</v>
      </c>
      <c r="N79" s="62">
        <f>SUM(N58:N78)</f>
        <v>0</v>
      </c>
      <c r="O79" s="62">
        <f t="shared" ref="O79:AA79" si="68">SUM(O58:O78)</f>
        <v>0</v>
      </c>
      <c r="P79" s="62">
        <f t="shared" si="68"/>
        <v>0</v>
      </c>
      <c r="Q79" s="62">
        <f t="shared" si="68"/>
        <v>0</v>
      </c>
      <c r="R79" s="62">
        <f t="shared" si="68"/>
        <v>0</v>
      </c>
      <c r="S79" s="62">
        <f t="shared" si="68"/>
        <v>1018432040</v>
      </c>
      <c r="T79" s="62">
        <f t="shared" si="68"/>
        <v>0</v>
      </c>
      <c r="U79" s="62">
        <f t="shared" si="68"/>
        <v>100000000</v>
      </c>
      <c r="V79" s="62">
        <f t="shared" si="68"/>
        <v>272084973</v>
      </c>
      <c r="W79" s="62">
        <f t="shared" si="68"/>
        <v>0</v>
      </c>
      <c r="X79" s="62">
        <f t="shared" si="68"/>
        <v>0</v>
      </c>
      <c r="Y79" s="62">
        <f t="shared" si="68"/>
        <v>0</v>
      </c>
      <c r="Z79" s="62">
        <f t="shared" si="68"/>
        <v>0</v>
      </c>
      <c r="AA79" s="62">
        <f t="shared" si="68"/>
        <v>719873304</v>
      </c>
      <c r="AB79" s="44">
        <f t="shared" si="63"/>
        <v>0.84900847612899788</v>
      </c>
      <c r="AC79" s="62">
        <f>SUM(AC58:AC78)</f>
        <v>2150020844</v>
      </c>
      <c r="AD79" s="62">
        <f t="shared" ref="AD79:AW79" si="69">SUM(AD58:AD78)</f>
        <v>0</v>
      </c>
      <c r="AE79" s="62">
        <f t="shared" si="69"/>
        <v>399043533</v>
      </c>
      <c r="AF79" s="62">
        <f t="shared" si="69"/>
        <v>0</v>
      </c>
      <c r="AG79" s="62">
        <f t="shared" si="69"/>
        <v>0</v>
      </c>
      <c r="AH79" s="62">
        <f t="shared" si="69"/>
        <v>0</v>
      </c>
      <c r="AI79" s="62">
        <f t="shared" si="69"/>
        <v>0</v>
      </c>
      <c r="AJ79" s="62">
        <f t="shared" si="69"/>
        <v>0</v>
      </c>
      <c r="AK79" s="62">
        <f t="shared" si="69"/>
        <v>0</v>
      </c>
      <c r="AL79" s="62">
        <f t="shared" si="69"/>
        <v>0</v>
      </c>
      <c r="AM79" s="62">
        <f t="shared" si="69"/>
        <v>0</v>
      </c>
      <c r="AN79" s="62">
        <f t="shared" si="69"/>
        <v>0</v>
      </c>
      <c r="AO79" s="62">
        <f t="shared" si="69"/>
        <v>780745920</v>
      </c>
      <c r="AP79" s="62">
        <f t="shared" si="69"/>
        <v>0</v>
      </c>
      <c r="AQ79" s="62">
        <f t="shared" si="69"/>
        <v>100000000</v>
      </c>
      <c r="AR79" s="62">
        <f t="shared" si="69"/>
        <v>239883201</v>
      </c>
      <c r="AS79" s="62">
        <f t="shared" si="69"/>
        <v>0</v>
      </c>
      <c r="AT79" s="62">
        <f t="shared" si="69"/>
        <v>0</v>
      </c>
      <c r="AU79" s="62">
        <f t="shared" si="69"/>
        <v>0</v>
      </c>
      <c r="AV79" s="62">
        <f t="shared" si="69"/>
        <v>0</v>
      </c>
      <c r="AW79" s="62">
        <f t="shared" si="69"/>
        <v>630348190</v>
      </c>
      <c r="AX79" s="44">
        <f t="shared" si="64"/>
        <v>0.15099152387100212</v>
      </c>
      <c r="AY79" s="62">
        <f t="shared" ref="AY79:BS79" si="70">SUM(AY58:AY78)</f>
        <v>382369473</v>
      </c>
      <c r="AZ79" s="62">
        <f t="shared" si="70"/>
        <v>0</v>
      </c>
      <c r="BA79" s="62">
        <f t="shared" si="70"/>
        <v>22956467</v>
      </c>
      <c r="BB79" s="62">
        <f t="shared" si="70"/>
        <v>0</v>
      </c>
      <c r="BC79" s="62">
        <f t="shared" si="70"/>
        <v>0</v>
      </c>
      <c r="BD79" s="62">
        <f t="shared" si="70"/>
        <v>0</v>
      </c>
      <c r="BE79" s="62">
        <f t="shared" si="70"/>
        <v>0</v>
      </c>
      <c r="BF79" s="62">
        <f t="shared" si="70"/>
        <v>0</v>
      </c>
      <c r="BG79" s="62">
        <f t="shared" si="70"/>
        <v>0</v>
      </c>
      <c r="BH79" s="62">
        <f t="shared" si="70"/>
        <v>0</v>
      </c>
      <c r="BI79" s="62">
        <f t="shared" si="70"/>
        <v>0</v>
      </c>
      <c r="BJ79" s="62">
        <f t="shared" si="70"/>
        <v>0</v>
      </c>
      <c r="BK79" s="62">
        <f t="shared" si="70"/>
        <v>237686120</v>
      </c>
      <c r="BL79" s="62">
        <f t="shared" si="70"/>
        <v>0</v>
      </c>
      <c r="BM79" s="62">
        <f t="shared" si="70"/>
        <v>0</v>
      </c>
      <c r="BN79" s="62">
        <f t="shared" si="70"/>
        <v>32201772</v>
      </c>
      <c r="BO79" s="62">
        <f t="shared" si="70"/>
        <v>0</v>
      </c>
      <c r="BP79" s="62">
        <f t="shared" si="70"/>
        <v>0</v>
      </c>
      <c r="BQ79" s="62">
        <f t="shared" si="70"/>
        <v>0</v>
      </c>
      <c r="BR79" s="62">
        <f t="shared" si="70"/>
        <v>0</v>
      </c>
      <c r="BS79" s="62">
        <f t="shared" si="70"/>
        <v>89525114</v>
      </c>
      <c r="BT79" s="44">
        <f t="shared" si="66"/>
        <v>0.74558850044757929</v>
      </c>
      <c r="BU79" s="62">
        <f t="shared" ref="BU79:CK79" si="71">SUM(BU58:BU78)</f>
        <v>1888121099</v>
      </c>
      <c r="BV79" s="62">
        <f t="shared" si="71"/>
        <v>0</v>
      </c>
      <c r="BW79" s="62">
        <f t="shared" si="71"/>
        <v>376948878</v>
      </c>
      <c r="BX79" s="62">
        <f t="shared" si="71"/>
        <v>0</v>
      </c>
      <c r="BY79" s="62">
        <f t="shared" si="71"/>
        <v>0</v>
      </c>
      <c r="BZ79" s="62">
        <f t="shared" si="71"/>
        <v>0</v>
      </c>
      <c r="CA79" s="62">
        <f t="shared" si="71"/>
        <v>0</v>
      </c>
      <c r="CB79" s="62">
        <f t="shared" si="71"/>
        <v>0</v>
      </c>
      <c r="CC79" s="62">
        <f t="shared" si="71"/>
        <v>0</v>
      </c>
      <c r="CD79" s="62">
        <f t="shared" si="71"/>
        <v>0</v>
      </c>
      <c r="CE79" s="62">
        <f t="shared" si="71"/>
        <v>0</v>
      </c>
      <c r="CF79" s="62">
        <f t="shared" si="71"/>
        <v>0</v>
      </c>
      <c r="CG79" s="62">
        <f t="shared" si="71"/>
        <v>776599252</v>
      </c>
      <c r="CH79" s="62">
        <f t="shared" si="71"/>
        <v>0</v>
      </c>
      <c r="CI79" s="62">
        <f t="shared" si="71"/>
        <v>60640760</v>
      </c>
      <c r="CJ79" s="62">
        <f t="shared" si="71"/>
        <v>140473723</v>
      </c>
      <c r="CK79" s="62">
        <f t="shared" si="71"/>
        <v>0</v>
      </c>
      <c r="CL79" s="62"/>
      <c r="CM79" s="62">
        <f>SUM(CM58:CM78)</f>
        <v>0</v>
      </c>
      <c r="CN79" s="62">
        <f>SUM(CN58:CN78)</f>
        <v>0</v>
      </c>
      <c r="CO79" s="62">
        <f>SUM(CO58:CO78)</f>
        <v>533458486</v>
      </c>
      <c r="CP79" s="44">
        <f t="shared" si="58"/>
        <v>0.25441149955242071</v>
      </c>
      <c r="CQ79" s="62">
        <f t="shared" ref="CQ79:DK79" si="72">SUM(CQ58:CQ78)</f>
        <v>644269218</v>
      </c>
      <c r="CR79" s="62">
        <f t="shared" si="72"/>
        <v>0</v>
      </c>
      <c r="CS79" s="62">
        <f t="shared" si="72"/>
        <v>45051122</v>
      </c>
      <c r="CT79" s="62">
        <f t="shared" si="72"/>
        <v>0</v>
      </c>
      <c r="CU79" s="62">
        <f t="shared" si="72"/>
        <v>0</v>
      </c>
      <c r="CV79" s="62">
        <f t="shared" si="72"/>
        <v>0</v>
      </c>
      <c r="CW79" s="62">
        <f t="shared" si="72"/>
        <v>0</v>
      </c>
      <c r="CX79" s="62">
        <f t="shared" si="72"/>
        <v>0</v>
      </c>
      <c r="CY79" s="62">
        <f t="shared" si="72"/>
        <v>0</v>
      </c>
      <c r="CZ79" s="62">
        <f t="shared" si="72"/>
        <v>0</v>
      </c>
      <c r="DA79" s="62">
        <f t="shared" si="72"/>
        <v>0</v>
      </c>
      <c r="DB79" s="62">
        <f t="shared" si="72"/>
        <v>0</v>
      </c>
      <c r="DC79" s="62">
        <f t="shared" si="72"/>
        <v>241832788</v>
      </c>
      <c r="DD79" s="62">
        <f t="shared" si="72"/>
        <v>0</v>
      </c>
      <c r="DE79" s="62">
        <f t="shared" si="72"/>
        <v>39359240</v>
      </c>
      <c r="DF79" s="62">
        <f t="shared" si="72"/>
        <v>131611250</v>
      </c>
      <c r="DG79" s="62">
        <f t="shared" si="72"/>
        <v>0</v>
      </c>
      <c r="DH79" s="62">
        <f t="shared" si="72"/>
        <v>0</v>
      </c>
      <c r="DI79" s="62">
        <f t="shared" si="72"/>
        <v>0</v>
      </c>
      <c r="DJ79" s="62">
        <f t="shared" si="72"/>
        <v>0</v>
      </c>
      <c r="DK79" s="62">
        <f t="shared" si="72"/>
        <v>186414818</v>
      </c>
      <c r="DM79" s="26">
        <f t="shared" si="26"/>
        <v>2532390317</v>
      </c>
      <c r="DN79" s="26">
        <f t="shared" si="27"/>
        <v>2532390317</v>
      </c>
      <c r="DO79" s="26">
        <f t="shared" si="28"/>
        <v>2532390317</v>
      </c>
    </row>
    <row r="80" spans="1:120" s="47" customFormat="1" ht="15.75" thickTop="1" x14ac:dyDescent="0.25">
      <c r="A80" s="203" t="s">
        <v>249</v>
      </c>
      <c r="B80" s="191" t="s">
        <v>250</v>
      </c>
      <c r="C80" s="53" t="s">
        <v>251</v>
      </c>
      <c r="D80" s="19" t="s">
        <v>252</v>
      </c>
      <c r="E80" s="20">
        <v>301</v>
      </c>
      <c r="F80" s="21" t="s">
        <v>253</v>
      </c>
      <c r="G80" s="22">
        <f t="shared" ref="G80:G93" si="73">SUM(H80:AA80)</f>
        <v>74030286</v>
      </c>
      <c r="H80" s="22">
        <f>95000000-20969714</f>
        <v>74030286</v>
      </c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3">
        <f t="shared" si="63"/>
        <v>1</v>
      </c>
      <c r="AC80" s="22">
        <f t="shared" ref="AC80:AC93" si="74">SUM(AD80:AW80)</f>
        <v>74030286</v>
      </c>
      <c r="AD80" s="22">
        <f>+'[6]JULIO 2017'!$J$515</f>
        <v>74030286</v>
      </c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3">
        <f t="shared" si="64"/>
        <v>0</v>
      </c>
      <c r="AY80" s="22">
        <f t="shared" ref="AY80:AY93" si="75">SUM(AZ80:BS80)</f>
        <v>0</v>
      </c>
      <c r="AZ80" s="22">
        <f t="shared" ref="AZ80:BO93" si="76">H80-AD80</f>
        <v>0</v>
      </c>
      <c r="BA80" s="22">
        <f t="shared" si="76"/>
        <v>0</v>
      </c>
      <c r="BB80" s="22">
        <f t="shared" si="76"/>
        <v>0</v>
      </c>
      <c r="BC80" s="22">
        <f t="shared" si="76"/>
        <v>0</v>
      </c>
      <c r="BD80" s="22">
        <f t="shared" si="76"/>
        <v>0</v>
      </c>
      <c r="BE80" s="22">
        <f t="shared" si="76"/>
        <v>0</v>
      </c>
      <c r="BF80" s="22">
        <f t="shared" si="76"/>
        <v>0</v>
      </c>
      <c r="BG80" s="22">
        <f t="shared" si="76"/>
        <v>0</v>
      </c>
      <c r="BH80" s="22">
        <f t="shared" si="76"/>
        <v>0</v>
      </c>
      <c r="BI80" s="22">
        <f t="shared" si="76"/>
        <v>0</v>
      </c>
      <c r="BJ80" s="22">
        <f t="shared" si="76"/>
        <v>0</v>
      </c>
      <c r="BK80" s="22">
        <f t="shared" si="76"/>
        <v>0</v>
      </c>
      <c r="BL80" s="22">
        <f t="shared" si="76"/>
        <v>0</v>
      </c>
      <c r="BM80" s="22">
        <f t="shared" si="76"/>
        <v>0</v>
      </c>
      <c r="BN80" s="22">
        <f t="shared" si="76"/>
        <v>0</v>
      </c>
      <c r="BO80" s="22">
        <f t="shared" si="76"/>
        <v>0</v>
      </c>
      <c r="BP80" s="22">
        <f t="shared" ref="BO80:BS93" si="77">X80-AT80</f>
        <v>0</v>
      </c>
      <c r="BQ80" s="22">
        <f t="shared" si="77"/>
        <v>0</v>
      </c>
      <c r="BR80" s="22">
        <f t="shared" si="77"/>
        <v>0</v>
      </c>
      <c r="BS80" s="22">
        <f t="shared" si="77"/>
        <v>0</v>
      </c>
      <c r="BT80" s="23">
        <f t="shared" si="66"/>
        <v>0.78230196219963277</v>
      </c>
      <c r="BU80" s="22">
        <f t="shared" ref="BU80:BU93" si="78">SUM(BV80:CO80)</f>
        <v>57914038</v>
      </c>
      <c r="BV80" s="22">
        <f>+'[5]AGOSTO 2017'!$H$628</f>
        <v>57914038</v>
      </c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3">
        <f t="shared" si="58"/>
        <v>0.21769803780036723</v>
      </c>
      <c r="CQ80" s="22">
        <f t="shared" ref="CQ80:CQ93" si="79">SUM(CR80:DK80)</f>
        <v>16116248</v>
      </c>
      <c r="CR80" s="22">
        <f>H80-BV80</f>
        <v>16116248</v>
      </c>
      <c r="CS80" s="22"/>
      <c r="CT80" s="22">
        <f t="shared" ref="CT80:DI93" si="80">J80-BX80</f>
        <v>0</v>
      </c>
      <c r="CU80" s="22">
        <f t="shared" si="80"/>
        <v>0</v>
      </c>
      <c r="CV80" s="22">
        <f t="shared" si="80"/>
        <v>0</v>
      </c>
      <c r="CW80" s="22">
        <f t="shared" si="80"/>
        <v>0</v>
      </c>
      <c r="CX80" s="22">
        <f t="shared" si="80"/>
        <v>0</v>
      </c>
      <c r="CY80" s="22">
        <f t="shared" si="80"/>
        <v>0</v>
      </c>
      <c r="CZ80" s="22">
        <f t="shared" si="80"/>
        <v>0</v>
      </c>
      <c r="DA80" s="22">
        <f t="shared" si="80"/>
        <v>0</v>
      </c>
      <c r="DB80" s="22">
        <f t="shared" si="80"/>
        <v>0</v>
      </c>
      <c r="DC80" s="22">
        <f t="shared" si="80"/>
        <v>0</v>
      </c>
      <c r="DD80" s="22">
        <f t="shared" si="80"/>
        <v>0</v>
      </c>
      <c r="DE80" s="22">
        <f t="shared" si="80"/>
        <v>0</v>
      </c>
      <c r="DF80" s="22">
        <f t="shared" si="80"/>
        <v>0</v>
      </c>
      <c r="DG80" s="22">
        <f t="shared" si="80"/>
        <v>0</v>
      </c>
      <c r="DH80" s="22">
        <f t="shared" si="80"/>
        <v>0</v>
      </c>
      <c r="DI80" s="22">
        <f t="shared" si="80"/>
        <v>0</v>
      </c>
      <c r="DJ80" s="22">
        <f t="shared" ref="DI80:DK93" si="81">Z80-CN80</f>
        <v>0</v>
      </c>
      <c r="DK80" s="22">
        <f t="shared" si="81"/>
        <v>0</v>
      </c>
      <c r="DM80" s="26">
        <f t="shared" si="26"/>
        <v>74030286</v>
      </c>
      <c r="DN80" s="26">
        <f t="shared" si="27"/>
        <v>74030286</v>
      </c>
      <c r="DO80" s="26">
        <f t="shared" si="28"/>
        <v>74030286</v>
      </c>
    </row>
    <row r="81" spans="1:119" s="47" customFormat="1" ht="33" customHeight="1" x14ac:dyDescent="0.25">
      <c r="A81" s="203"/>
      <c r="B81" s="189"/>
      <c r="C81" s="53" t="s">
        <v>254</v>
      </c>
      <c r="D81" s="19" t="s">
        <v>255</v>
      </c>
      <c r="E81" s="20">
        <v>301</v>
      </c>
      <c r="F81" s="21" t="s">
        <v>253</v>
      </c>
      <c r="G81" s="22">
        <f t="shared" si="73"/>
        <v>63674133</v>
      </c>
      <c r="H81" s="22">
        <f>70000000-6325867</f>
        <v>63674133</v>
      </c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3">
        <f t="shared" si="63"/>
        <v>1</v>
      </c>
      <c r="AC81" s="22">
        <f t="shared" si="74"/>
        <v>63674133</v>
      </c>
      <c r="AD81" s="22">
        <f>+'[6]JULIO 2017'!$J$527</f>
        <v>63674133</v>
      </c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3">
        <f t="shared" si="64"/>
        <v>0</v>
      </c>
      <c r="AY81" s="22">
        <f t="shared" si="75"/>
        <v>0</v>
      </c>
      <c r="AZ81" s="22">
        <f t="shared" si="76"/>
        <v>0</v>
      </c>
      <c r="BA81" s="22">
        <f t="shared" si="76"/>
        <v>0</v>
      </c>
      <c r="BB81" s="22">
        <f t="shared" si="76"/>
        <v>0</v>
      </c>
      <c r="BC81" s="22">
        <f t="shared" si="76"/>
        <v>0</v>
      </c>
      <c r="BD81" s="22">
        <f t="shared" si="76"/>
        <v>0</v>
      </c>
      <c r="BE81" s="22">
        <f t="shared" si="76"/>
        <v>0</v>
      </c>
      <c r="BF81" s="22">
        <f t="shared" si="76"/>
        <v>0</v>
      </c>
      <c r="BG81" s="22">
        <f t="shared" si="76"/>
        <v>0</v>
      </c>
      <c r="BH81" s="22">
        <f t="shared" si="76"/>
        <v>0</v>
      </c>
      <c r="BI81" s="22">
        <f t="shared" si="76"/>
        <v>0</v>
      </c>
      <c r="BJ81" s="22">
        <f t="shared" si="76"/>
        <v>0</v>
      </c>
      <c r="BK81" s="22">
        <f t="shared" si="76"/>
        <v>0</v>
      </c>
      <c r="BL81" s="22">
        <f t="shared" si="76"/>
        <v>0</v>
      </c>
      <c r="BM81" s="22">
        <f t="shared" si="76"/>
        <v>0</v>
      </c>
      <c r="BN81" s="22">
        <f t="shared" si="76"/>
        <v>0</v>
      </c>
      <c r="BO81" s="22">
        <f t="shared" si="76"/>
        <v>0</v>
      </c>
      <c r="BP81" s="22">
        <f t="shared" si="77"/>
        <v>0</v>
      </c>
      <c r="BQ81" s="22">
        <f t="shared" si="77"/>
        <v>0</v>
      </c>
      <c r="BR81" s="22">
        <f t="shared" si="77"/>
        <v>0</v>
      </c>
      <c r="BS81" s="22">
        <f t="shared" si="77"/>
        <v>0</v>
      </c>
      <c r="BT81" s="23">
        <f t="shared" si="66"/>
        <v>0.98840521314989871</v>
      </c>
      <c r="BU81" s="22">
        <f t="shared" si="78"/>
        <v>62935845</v>
      </c>
      <c r="BV81" s="22">
        <f>+'[5]AGOSTO 2017'!$H$644</f>
        <v>62935845</v>
      </c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3">
        <f t="shared" si="58"/>
        <v>1.1594786850101291E-2</v>
      </c>
      <c r="CQ81" s="22">
        <f t="shared" si="79"/>
        <v>738288</v>
      </c>
      <c r="CR81" s="22">
        <f t="shared" ref="CR81:DG93" si="82">H81-BV81</f>
        <v>738288</v>
      </c>
      <c r="CS81" s="22">
        <f t="shared" si="82"/>
        <v>0</v>
      </c>
      <c r="CT81" s="22">
        <f t="shared" si="82"/>
        <v>0</v>
      </c>
      <c r="CU81" s="22">
        <f t="shared" si="82"/>
        <v>0</v>
      </c>
      <c r="CV81" s="22">
        <f t="shared" si="82"/>
        <v>0</v>
      </c>
      <c r="CW81" s="22">
        <f t="shared" si="82"/>
        <v>0</v>
      </c>
      <c r="CX81" s="22">
        <f t="shared" si="82"/>
        <v>0</v>
      </c>
      <c r="CY81" s="22">
        <f t="shared" si="82"/>
        <v>0</v>
      </c>
      <c r="CZ81" s="22">
        <f t="shared" si="82"/>
        <v>0</v>
      </c>
      <c r="DA81" s="22">
        <f t="shared" si="82"/>
        <v>0</v>
      </c>
      <c r="DB81" s="22">
        <f t="shared" si="82"/>
        <v>0</v>
      </c>
      <c r="DC81" s="22">
        <f t="shared" si="82"/>
        <v>0</v>
      </c>
      <c r="DD81" s="22">
        <f t="shared" si="82"/>
        <v>0</v>
      </c>
      <c r="DE81" s="22">
        <f t="shared" si="82"/>
        <v>0</v>
      </c>
      <c r="DF81" s="22">
        <f t="shared" si="82"/>
        <v>0</v>
      </c>
      <c r="DG81" s="22">
        <f t="shared" si="82"/>
        <v>0</v>
      </c>
      <c r="DH81" s="22">
        <f t="shared" si="80"/>
        <v>0</v>
      </c>
      <c r="DI81" s="22">
        <f t="shared" si="81"/>
        <v>0</v>
      </c>
      <c r="DJ81" s="22">
        <f t="shared" si="81"/>
        <v>0</v>
      </c>
      <c r="DK81" s="22">
        <f t="shared" si="81"/>
        <v>0</v>
      </c>
      <c r="DM81" s="26">
        <f t="shared" si="26"/>
        <v>63674133</v>
      </c>
      <c r="DN81" s="26">
        <f t="shared" si="27"/>
        <v>63674133</v>
      </c>
      <c r="DO81" s="26">
        <f t="shared" si="28"/>
        <v>63674133</v>
      </c>
    </row>
    <row r="82" spans="1:119" s="47" customFormat="1" ht="29.25" customHeight="1" x14ac:dyDescent="0.25">
      <c r="A82" s="203"/>
      <c r="B82" s="189"/>
      <c r="C82" s="53" t="s">
        <v>256</v>
      </c>
      <c r="D82" s="19" t="s">
        <v>257</v>
      </c>
      <c r="E82" s="20">
        <v>301</v>
      </c>
      <c r="F82" s="21" t="s">
        <v>253</v>
      </c>
      <c r="G82" s="22">
        <f t="shared" si="73"/>
        <v>72295581</v>
      </c>
      <c r="H82" s="22">
        <f>15000000+20969714+6325867</f>
        <v>42295581</v>
      </c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>
        <v>30000000</v>
      </c>
      <c r="X82" s="22"/>
      <c r="Y82" s="22"/>
      <c r="Z82" s="22"/>
      <c r="AA82" s="22"/>
      <c r="AB82" s="23">
        <f t="shared" si="63"/>
        <v>0.99995635971166763</v>
      </c>
      <c r="AC82" s="22">
        <f t="shared" si="74"/>
        <v>72292426</v>
      </c>
      <c r="AD82" s="22">
        <f>+'[6]JULIO 2017'!$J$537</f>
        <v>42292426</v>
      </c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>
        <f>+'[1]ENERO 2017'!$Q$163</f>
        <v>30000000</v>
      </c>
      <c r="AT82" s="22"/>
      <c r="AU82" s="22"/>
      <c r="AV82" s="22"/>
      <c r="AW82" s="22"/>
      <c r="AX82" s="23">
        <f t="shared" si="64"/>
        <v>4.3640288332369437E-5</v>
      </c>
      <c r="AY82" s="22">
        <f t="shared" si="75"/>
        <v>3155</v>
      </c>
      <c r="AZ82" s="22">
        <f t="shared" si="76"/>
        <v>3155</v>
      </c>
      <c r="BA82" s="22">
        <f t="shared" si="76"/>
        <v>0</v>
      </c>
      <c r="BB82" s="22">
        <f t="shared" si="76"/>
        <v>0</v>
      </c>
      <c r="BC82" s="22">
        <f t="shared" si="76"/>
        <v>0</v>
      </c>
      <c r="BD82" s="22">
        <f t="shared" si="76"/>
        <v>0</v>
      </c>
      <c r="BE82" s="22">
        <f t="shared" si="76"/>
        <v>0</v>
      </c>
      <c r="BF82" s="22">
        <f t="shared" si="76"/>
        <v>0</v>
      </c>
      <c r="BG82" s="22">
        <f t="shared" si="76"/>
        <v>0</v>
      </c>
      <c r="BH82" s="22">
        <f t="shared" si="76"/>
        <v>0</v>
      </c>
      <c r="BI82" s="22">
        <f t="shared" si="76"/>
        <v>0</v>
      </c>
      <c r="BJ82" s="22">
        <f t="shared" si="76"/>
        <v>0</v>
      </c>
      <c r="BK82" s="22">
        <f t="shared" si="76"/>
        <v>0</v>
      </c>
      <c r="BL82" s="22">
        <f t="shared" si="76"/>
        <v>0</v>
      </c>
      <c r="BM82" s="22">
        <f t="shared" si="76"/>
        <v>0</v>
      </c>
      <c r="BN82" s="22">
        <f t="shared" si="76"/>
        <v>0</v>
      </c>
      <c r="BO82" s="22">
        <f t="shared" si="76"/>
        <v>0</v>
      </c>
      <c r="BP82" s="22">
        <f t="shared" si="77"/>
        <v>0</v>
      </c>
      <c r="BQ82" s="22">
        <f t="shared" si="77"/>
        <v>0</v>
      </c>
      <c r="BR82" s="22">
        <f t="shared" si="77"/>
        <v>0</v>
      </c>
      <c r="BS82" s="22">
        <f t="shared" si="77"/>
        <v>0</v>
      </c>
      <c r="BT82" s="23">
        <f t="shared" si="66"/>
        <v>0.99689010037833437</v>
      </c>
      <c r="BU82" s="22">
        <f t="shared" si="78"/>
        <v>72070749</v>
      </c>
      <c r="BV82" s="22">
        <f>+'[5]AGOSTO 2017'!$H$660+'[5]AGOSTO 2017'!$H$667</f>
        <v>42070749</v>
      </c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>
        <f>+'[6]JULIO 2017'!$H$541</f>
        <v>30000000</v>
      </c>
      <c r="CL82" s="22"/>
      <c r="CM82" s="22"/>
      <c r="CN82" s="22"/>
      <c r="CO82" s="22"/>
      <c r="CP82" s="23">
        <f t="shared" si="58"/>
        <v>3.1098996216656349E-3</v>
      </c>
      <c r="CQ82" s="22">
        <f t="shared" si="79"/>
        <v>224832</v>
      </c>
      <c r="CR82" s="22">
        <f t="shared" si="82"/>
        <v>224832</v>
      </c>
      <c r="CS82" s="22">
        <f t="shared" si="82"/>
        <v>0</v>
      </c>
      <c r="CT82" s="22">
        <f t="shared" si="82"/>
        <v>0</v>
      </c>
      <c r="CU82" s="22">
        <f t="shared" si="82"/>
        <v>0</v>
      </c>
      <c r="CV82" s="22">
        <f t="shared" si="82"/>
        <v>0</v>
      </c>
      <c r="CW82" s="22">
        <f t="shared" si="82"/>
        <v>0</v>
      </c>
      <c r="CX82" s="22">
        <f t="shared" si="82"/>
        <v>0</v>
      </c>
      <c r="CY82" s="22">
        <f t="shared" si="82"/>
        <v>0</v>
      </c>
      <c r="CZ82" s="22">
        <f t="shared" si="82"/>
        <v>0</v>
      </c>
      <c r="DA82" s="22">
        <f t="shared" si="82"/>
        <v>0</v>
      </c>
      <c r="DB82" s="22">
        <f t="shared" si="82"/>
        <v>0</v>
      </c>
      <c r="DC82" s="22">
        <f t="shared" si="82"/>
        <v>0</v>
      </c>
      <c r="DD82" s="22">
        <f t="shared" si="82"/>
        <v>0</v>
      </c>
      <c r="DE82" s="22">
        <f t="shared" si="82"/>
        <v>0</v>
      </c>
      <c r="DF82" s="22">
        <f t="shared" si="82"/>
        <v>0</v>
      </c>
      <c r="DG82" s="22">
        <f t="shared" si="82"/>
        <v>0</v>
      </c>
      <c r="DH82" s="22">
        <f t="shared" si="80"/>
        <v>0</v>
      </c>
      <c r="DI82" s="22">
        <f t="shared" si="81"/>
        <v>0</v>
      </c>
      <c r="DJ82" s="22">
        <f t="shared" si="81"/>
        <v>0</v>
      </c>
      <c r="DK82" s="22">
        <f t="shared" si="81"/>
        <v>0</v>
      </c>
      <c r="DM82" s="26">
        <f t="shared" si="26"/>
        <v>72295581</v>
      </c>
      <c r="DN82" s="26">
        <f t="shared" si="27"/>
        <v>72295581</v>
      </c>
      <c r="DO82" s="26">
        <f t="shared" si="28"/>
        <v>72295581</v>
      </c>
    </row>
    <row r="83" spans="1:119" ht="32.25" customHeight="1" x14ac:dyDescent="0.25">
      <c r="A83" s="203"/>
      <c r="B83" s="189"/>
      <c r="C83" s="53" t="s">
        <v>258</v>
      </c>
      <c r="D83" s="19" t="s">
        <v>259</v>
      </c>
      <c r="E83" s="20">
        <v>301</v>
      </c>
      <c r="F83" s="80" t="s">
        <v>260</v>
      </c>
      <c r="G83" s="22">
        <f t="shared" si="73"/>
        <v>8991754</v>
      </c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>
        <f>2000000+5000000+1991754</f>
        <v>8991754</v>
      </c>
      <c r="AB83" s="23">
        <f t="shared" si="63"/>
        <v>0.22242601387893843</v>
      </c>
      <c r="AC83" s="22">
        <f t="shared" si="74"/>
        <v>2000000</v>
      </c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>
        <f>+'[3]JUNIO 2017'!$G$413</f>
        <v>2000000</v>
      </c>
      <c r="AX83" s="23">
        <f t="shared" si="64"/>
        <v>0.77757398612106154</v>
      </c>
      <c r="AY83" s="22">
        <f t="shared" si="75"/>
        <v>6991754</v>
      </c>
      <c r="AZ83" s="22">
        <f t="shared" si="76"/>
        <v>0</v>
      </c>
      <c r="BA83" s="22">
        <f t="shared" si="76"/>
        <v>0</v>
      </c>
      <c r="BB83" s="22">
        <f t="shared" si="76"/>
        <v>0</v>
      </c>
      <c r="BC83" s="22">
        <f t="shared" si="76"/>
        <v>0</v>
      </c>
      <c r="BD83" s="22">
        <f t="shared" si="76"/>
        <v>0</v>
      </c>
      <c r="BE83" s="22">
        <f t="shared" si="76"/>
        <v>0</v>
      </c>
      <c r="BF83" s="22">
        <f t="shared" si="76"/>
        <v>0</v>
      </c>
      <c r="BG83" s="22">
        <f t="shared" si="76"/>
        <v>0</v>
      </c>
      <c r="BH83" s="22">
        <f t="shared" si="76"/>
        <v>0</v>
      </c>
      <c r="BI83" s="22">
        <f t="shared" si="76"/>
        <v>0</v>
      </c>
      <c r="BJ83" s="22">
        <f t="shared" si="76"/>
        <v>0</v>
      </c>
      <c r="BK83" s="22">
        <f t="shared" si="76"/>
        <v>0</v>
      </c>
      <c r="BL83" s="22">
        <f t="shared" si="76"/>
        <v>0</v>
      </c>
      <c r="BM83" s="22">
        <f t="shared" si="76"/>
        <v>0</v>
      </c>
      <c r="BN83" s="22">
        <f t="shared" si="76"/>
        <v>0</v>
      </c>
      <c r="BO83" s="22">
        <f t="shared" si="76"/>
        <v>0</v>
      </c>
      <c r="BP83" s="22">
        <f t="shared" si="77"/>
        <v>0</v>
      </c>
      <c r="BQ83" s="22">
        <f t="shared" si="77"/>
        <v>0</v>
      </c>
      <c r="BR83" s="22">
        <f t="shared" si="77"/>
        <v>0</v>
      </c>
      <c r="BS83" s="22">
        <f t="shared" si="77"/>
        <v>6991754</v>
      </c>
      <c r="BT83" s="23">
        <f t="shared" si="66"/>
        <v>0.22242601387893843</v>
      </c>
      <c r="BU83" s="22">
        <f t="shared" si="78"/>
        <v>2000000</v>
      </c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>
        <f>+'[3]JUNIO 2017'!$H$413</f>
        <v>2000000</v>
      </c>
      <c r="CP83" s="23">
        <f t="shared" si="58"/>
        <v>0.77757398612106154</v>
      </c>
      <c r="CQ83" s="22">
        <f t="shared" si="79"/>
        <v>6991754</v>
      </c>
      <c r="CR83" s="22">
        <f t="shared" si="82"/>
        <v>0</v>
      </c>
      <c r="CS83" s="22">
        <f t="shared" si="82"/>
        <v>0</v>
      </c>
      <c r="CT83" s="22">
        <f t="shared" si="82"/>
        <v>0</v>
      </c>
      <c r="CU83" s="22">
        <f t="shared" si="82"/>
        <v>0</v>
      </c>
      <c r="CV83" s="22">
        <f t="shared" si="82"/>
        <v>0</v>
      </c>
      <c r="CW83" s="22">
        <f t="shared" si="82"/>
        <v>0</v>
      </c>
      <c r="CX83" s="22">
        <f t="shared" si="82"/>
        <v>0</v>
      </c>
      <c r="CY83" s="22">
        <f t="shared" si="82"/>
        <v>0</v>
      </c>
      <c r="CZ83" s="22">
        <f t="shared" si="82"/>
        <v>0</v>
      </c>
      <c r="DA83" s="22">
        <f t="shared" si="82"/>
        <v>0</v>
      </c>
      <c r="DB83" s="22">
        <f t="shared" si="82"/>
        <v>0</v>
      </c>
      <c r="DC83" s="22">
        <f t="shared" si="82"/>
        <v>0</v>
      </c>
      <c r="DD83" s="22">
        <f t="shared" si="82"/>
        <v>0</v>
      </c>
      <c r="DE83" s="22">
        <f t="shared" si="82"/>
        <v>0</v>
      </c>
      <c r="DF83" s="22">
        <f t="shared" si="82"/>
        <v>0</v>
      </c>
      <c r="DG83" s="22">
        <f t="shared" si="82"/>
        <v>0</v>
      </c>
      <c r="DH83" s="22">
        <f t="shared" si="80"/>
        <v>0</v>
      </c>
      <c r="DI83" s="22">
        <f t="shared" si="81"/>
        <v>0</v>
      </c>
      <c r="DJ83" s="22">
        <f t="shared" si="81"/>
        <v>0</v>
      </c>
      <c r="DK83" s="22">
        <f t="shared" si="81"/>
        <v>6991754</v>
      </c>
      <c r="DM83" s="26">
        <f t="shared" si="26"/>
        <v>8991754</v>
      </c>
      <c r="DN83" s="26">
        <f t="shared" si="27"/>
        <v>8991754</v>
      </c>
      <c r="DO83" s="26">
        <f t="shared" si="28"/>
        <v>8991754</v>
      </c>
    </row>
    <row r="84" spans="1:119" ht="31.5" customHeight="1" x14ac:dyDescent="0.25">
      <c r="A84" s="203"/>
      <c r="B84" s="189"/>
      <c r="C84" s="53" t="s">
        <v>261</v>
      </c>
      <c r="D84" s="19" t="s">
        <v>262</v>
      </c>
      <c r="E84" s="20">
        <v>301</v>
      </c>
      <c r="F84" s="21" t="s">
        <v>253</v>
      </c>
      <c r="G84" s="22">
        <f>SUM(H84:AA84)</f>
        <v>35000000</v>
      </c>
      <c r="H84" s="22">
        <v>35000000</v>
      </c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3">
        <f t="shared" si="63"/>
        <v>0.87946614285714286</v>
      </c>
      <c r="AC84" s="22">
        <f t="shared" si="74"/>
        <v>30781315</v>
      </c>
      <c r="AD84" s="22">
        <f>+'[6]JULIO 2017'!$J$557</f>
        <v>30781315</v>
      </c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3">
        <f t="shared" si="64"/>
        <v>0.12053385714285714</v>
      </c>
      <c r="AY84" s="22">
        <f t="shared" si="75"/>
        <v>4218685</v>
      </c>
      <c r="AZ84" s="22">
        <f t="shared" si="76"/>
        <v>4218685</v>
      </c>
      <c r="BA84" s="22">
        <f t="shared" si="76"/>
        <v>0</v>
      </c>
      <c r="BB84" s="22">
        <f t="shared" si="76"/>
        <v>0</v>
      </c>
      <c r="BC84" s="22">
        <f t="shared" si="76"/>
        <v>0</v>
      </c>
      <c r="BD84" s="22">
        <f t="shared" si="76"/>
        <v>0</v>
      </c>
      <c r="BE84" s="22">
        <f t="shared" si="76"/>
        <v>0</v>
      </c>
      <c r="BF84" s="22">
        <f t="shared" si="76"/>
        <v>0</v>
      </c>
      <c r="BG84" s="22">
        <f t="shared" si="76"/>
        <v>0</v>
      </c>
      <c r="BH84" s="22">
        <f t="shared" si="76"/>
        <v>0</v>
      </c>
      <c r="BI84" s="22">
        <f t="shared" si="76"/>
        <v>0</v>
      </c>
      <c r="BJ84" s="22">
        <f t="shared" si="76"/>
        <v>0</v>
      </c>
      <c r="BK84" s="22">
        <f t="shared" si="76"/>
        <v>0</v>
      </c>
      <c r="BL84" s="22">
        <f t="shared" si="76"/>
        <v>0</v>
      </c>
      <c r="BM84" s="22">
        <f t="shared" si="76"/>
        <v>0</v>
      </c>
      <c r="BN84" s="22">
        <f t="shared" si="76"/>
        <v>0</v>
      </c>
      <c r="BO84" s="22">
        <f t="shared" si="76"/>
        <v>0</v>
      </c>
      <c r="BP84" s="22">
        <f t="shared" si="77"/>
        <v>0</v>
      </c>
      <c r="BQ84" s="22">
        <f t="shared" si="77"/>
        <v>0</v>
      </c>
      <c r="BR84" s="22">
        <f t="shared" si="77"/>
        <v>0</v>
      </c>
      <c r="BS84" s="22">
        <f t="shared" si="77"/>
        <v>0</v>
      </c>
      <c r="BT84" s="23">
        <f t="shared" si="66"/>
        <v>0.87946614285714286</v>
      </c>
      <c r="BU84" s="22">
        <f t="shared" si="78"/>
        <v>30781315</v>
      </c>
      <c r="BV84" s="22">
        <f>+'[6]JULIO 2017'!$H$555</f>
        <v>30781315</v>
      </c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3">
        <f t="shared" si="58"/>
        <v>0.12053385714285714</v>
      </c>
      <c r="CQ84" s="22">
        <f t="shared" si="79"/>
        <v>4218685</v>
      </c>
      <c r="CR84" s="22">
        <f t="shared" si="82"/>
        <v>4218685</v>
      </c>
      <c r="CS84" s="22">
        <f t="shared" si="82"/>
        <v>0</v>
      </c>
      <c r="CT84" s="22">
        <f t="shared" si="82"/>
        <v>0</v>
      </c>
      <c r="CU84" s="22">
        <f t="shared" si="82"/>
        <v>0</v>
      </c>
      <c r="CV84" s="22">
        <f t="shared" si="82"/>
        <v>0</v>
      </c>
      <c r="CW84" s="22">
        <f t="shared" si="82"/>
        <v>0</v>
      </c>
      <c r="CX84" s="22">
        <f t="shared" si="82"/>
        <v>0</v>
      </c>
      <c r="CY84" s="22">
        <f t="shared" si="82"/>
        <v>0</v>
      </c>
      <c r="CZ84" s="22">
        <f t="shared" si="82"/>
        <v>0</v>
      </c>
      <c r="DA84" s="22">
        <f t="shared" si="82"/>
        <v>0</v>
      </c>
      <c r="DB84" s="22">
        <f t="shared" si="82"/>
        <v>0</v>
      </c>
      <c r="DC84" s="22">
        <f t="shared" si="82"/>
        <v>0</v>
      </c>
      <c r="DD84" s="22">
        <f t="shared" si="82"/>
        <v>0</v>
      </c>
      <c r="DE84" s="22">
        <f t="shared" si="82"/>
        <v>0</v>
      </c>
      <c r="DF84" s="22">
        <f t="shared" si="82"/>
        <v>0</v>
      </c>
      <c r="DG84" s="22">
        <f t="shared" si="82"/>
        <v>0</v>
      </c>
      <c r="DH84" s="22">
        <f t="shared" si="80"/>
        <v>0</v>
      </c>
      <c r="DI84" s="22">
        <f t="shared" si="81"/>
        <v>0</v>
      </c>
      <c r="DJ84" s="22">
        <f t="shared" si="81"/>
        <v>0</v>
      </c>
      <c r="DK84" s="22">
        <f t="shared" si="81"/>
        <v>0</v>
      </c>
      <c r="DM84" s="26">
        <f t="shared" si="26"/>
        <v>35000000</v>
      </c>
      <c r="DN84" s="26">
        <f t="shared" si="27"/>
        <v>35000000</v>
      </c>
      <c r="DO84" s="26">
        <f t="shared" si="28"/>
        <v>35000000</v>
      </c>
    </row>
    <row r="85" spans="1:119" ht="20.25" customHeight="1" x14ac:dyDescent="0.25">
      <c r="A85" s="203"/>
      <c r="B85" s="189"/>
      <c r="C85" s="53" t="s">
        <v>263</v>
      </c>
      <c r="D85" s="19" t="s">
        <v>264</v>
      </c>
      <c r="E85" s="20">
        <v>301</v>
      </c>
      <c r="F85" s="21" t="s">
        <v>151</v>
      </c>
      <c r="G85" s="22">
        <f t="shared" si="73"/>
        <v>190000000</v>
      </c>
      <c r="H85" s="22"/>
      <c r="I85" s="22">
        <v>60000000</v>
      </c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>
        <v>50000000</v>
      </c>
      <c r="V85" s="22"/>
      <c r="W85" s="22">
        <v>80000000</v>
      </c>
      <c r="X85" s="22"/>
      <c r="Y85" s="22"/>
      <c r="Z85" s="22"/>
      <c r="AA85" s="22"/>
      <c r="AB85" s="23">
        <f t="shared" si="63"/>
        <v>0.94695865789473688</v>
      </c>
      <c r="AC85" s="22">
        <f t="shared" si="74"/>
        <v>179922145</v>
      </c>
      <c r="AD85" s="22"/>
      <c r="AE85" s="22">
        <f>+'[1]ENERO 2017'!$K$184</f>
        <v>60000000</v>
      </c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>
        <f>+'[6]JULIO 2017'!$W$565</f>
        <v>50000000</v>
      </c>
      <c r="AR85" s="22"/>
      <c r="AS85" s="22">
        <f>+'[6]JULIO 2017'!$Y$565</f>
        <v>69922145</v>
      </c>
      <c r="AT85" s="22"/>
      <c r="AU85" s="22"/>
      <c r="AV85" s="22"/>
      <c r="AW85" s="22"/>
      <c r="AX85" s="23">
        <f t="shared" si="64"/>
        <v>5.3041342105263123E-2</v>
      </c>
      <c r="AY85" s="22">
        <f t="shared" si="75"/>
        <v>10077855</v>
      </c>
      <c r="AZ85" s="22">
        <f t="shared" si="76"/>
        <v>0</v>
      </c>
      <c r="BA85" s="22">
        <f t="shared" si="76"/>
        <v>0</v>
      </c>
      <c r="BB85" s="22">
        <f t="shared" si="76"/>
        <v>0</v>
      </c>
      <c r="BC85" s="22">
        <f t="shared" si="76"/>
        <v>0</v>
      </c>
      <c r="BD85" s="22">
        <f t="shared" si="76"/>
        <v>0</v>
      </c>
      <c r="BE85" s="22">
        <f t="shared" si="76"/>
        <v>0</v>
      </c>
      <c r="BF85" s="22">
        <f t="shared" si="76"/>
        <v>0</v>
      </c>
      <c r="BG85" s="22">
        <f t="shared" si="76"/>
        <v>0</v>
      </c>
      <c r="BH85" s="22">
        <f t="shared" si="76"/>
        <v>0</v>
      </c>
      <c r="BI85" s="22">
        <f t="shared" si="76"/>
        <v>0</v>
      </c>
      <c r="BJ85" s="22">
        <f t="shared" si="76"/>
        <v>0</v>
      </c>
      <c r="BK85" s="22">
        <f t="shared" si="76"/>
        <v>0</v>
      </c>
      <c r="BL85" s="22">
        <f t="shared" si="76"/>
        <v>0</v>
      </c>
      <c r="BM85" s="22">
        <f t="shared" si="76"/>
        <v>0</v>
      </c>
      <c r="BN85" s="22">
        <f t="shared" si="76"/>
        <v>0</v>
      </c>
      <c r="BO85" s="22">
        <f t="shared" si="76"/>
        <v>10077855</v>
      </c>
      <c r="BP85" s="22">
        <f t="shared" si="77"/>
        <v>0</v>
      </c>
      <c r="BQ85" s="22">
        <f t="shared" si="77"/>
        <v>0</v>
      </c>
      <c r="BR85" s="22">
        <f t="shared" si="77"/>
        <v>0</v>
      </c>
      <c r="BS85" s="22">
        <f t="shared" si="77"/>
        <v>0</v>
      </c>
      <c r="BT85" s="23">
        <f t="shared" si="66"/>
        <v>0.88058536842105262</v>
      </c>
      <c r="BU85" s="22">
        <f t="shared" si="78"/>
        <v>167311220</v>
      </c>
      <c r="BV85" s="22"/>
      <c r="BW85" s="22">
        <f>+'[3]JUNIO 2017'!$H$451</f>
        <v>60000000</v>
      </c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>
        <f>+'[5]AGOSTO 2017'!$H$717</f>
        <v>37389075</v>
      </c>
      <c r="CJ85" s="22"/>
      <c r="CK85" s="22">
        <f>+'[5]AGOSTO 2017'!$H$715+'[5]AGOSTO 2017'!$H$692</f>
        <v>69922145</v>
      </c>
      <c r="CL85" s="22"/>
      <c r="CM85" s="22"/>
      <c r="CN85" s="22"/>
      <c r="CO85" s="22"/>
      <c r="CP85" s="23">
        <f t="shared" si="58"/>
        <v>0.11941463157894738</v>
      </c>
      <c r="CQ85" s="22">
        <f t="shared" si="79"/>
        <v>22688780</v>
      </c>
      <c r="CR85" s="22">
        <f t="shared" si="82"/>
        <v>0</v>
      </c>
      <c r="CS85" s="22">
        <f t="shared" si="82"/>
        <v>0</v>
      </c>
      <c r="CT85" s="22">
        <f t="shared" si="82"/>
        <v>0</v>
      </c>
      <c r="CU85" s="22">
        <f t="shared" si="82"/>
        <v>0</v>
      </c>
      <c r="CV85" s="22">
        <f t="shared" si="82"/>
        <v>0</v>
      </c>
      <c r="CW85" s="22">
        <f t="shared" si="82"/>
        <v>0</v>
      </c>
      <c r="CX85" s="22">
        <f t="shared" si="82"/>
        <v>0</v>
      </c>
      <c r="CY85" s="22">
        <f t="shared" si="82"/>
        <v>0</v>
      </c>
      <c r="CZ85" s="22">
        <f t="shared" si="82"/>
        <v>0</v>
      </c>
      <c r="DA85" s="22">
        <f t="shared" si="82"/>
        <v>0</v>
      </c>
      <c r="DB85" s="22">
        <f t="shared" si="82"/>
        <v>0</v>
      </c>
      <c r="DC85" s="22">
        <f t="shared" si="82"/>
        <v>0</v>
      </c>
      <c r="DD85" s="22">
        <f t="shared" si="82"/>
        <v>0</v>
      </c>
      <c r="DE85" s="22">
        <f t="shared" si="82"/>
        <v>12610925</v>
      </c>
      <c r="DF85" s="22">
        <f t="shared" si="82"/>
        <v>0</v>
      </c>
      <c r="DG85" s="22">
        <f t="shared" si="82"/>
        <v>10077855</v>
      </c>
      <c r="DH85" s="22">
        <f t="shared" si="80"/>
        <v>0</v>
      </c>
      <c r="DI85" s="22">
        <f t="shared" si="81"/>
        <v>0</v>
      </c>
      <c r="DJ85" s="22">
        <f t="shared" si="81"/>
        <v>0</v>
      </c>
      <c r="DK85" s="22">
        <f t="shared" si="81"/>
        <v>0</v>
      </c>
      <c r="DM85" s="26">
        <f t="shared" si="26"/>
        <v>190000000</v>
      </c>
      <c r="DN85" s="26">
        <f t="shared" si="27"/>
        <v>190000000</v>
      </c>
      <c r="DO85" s="26">
        <f t="shared" si="28"/>
        <v>190000000</v>
      </c>
    </row>
    <row r="86" spans="1:119" ht="29.25" customHeight="1" x14ac:dyDescent="0.25">
      <c r="A86" s="203"/>
      <c r="B86" s="189"/>
      <c r="C86" s="53" t="s">
        <v>265</v>
      </c>
      <c r="D86" s="19" t="s">
        <v>266</v>
      </c>
      <c r="E86" s="20">
        <v>301</v>
      </c>
      <c r="F86" s="21" t="s">
        <v>267</v>
      </c>
      <c r="G86" s="22">
        <f t="shared" si="73"/>
        <v>29955000</v>
      </c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>
        <v>29955000</v>
      </c>
      <c r="X86" s="22"/>
      <c r="Y86" s="22"/>
      <c r="Z86" s="22"/>
      <c r="AA86" s="22"/>
      <c r="AB86" s="23">
        <f t="shared" si="63"/>
        <v>0.98322630612585549</v>
      </c>
      <c r="AC86" s="22">
        <f t="shared" si="74"/>
        <v>29452544</v>
      </c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>
        <f>+'[6]JULIO 2017'!$Y$596</f>
        <v>29452544</v>
      </c>
      <c r="AT86" s="22"/>
      <c r="AU86" s="22"/>
      <c r="AV86" s="22"/>
      <c r="AW86" s="22"/>
      <c r="AX86" s="23">
        <f t="shared" si="64"/>
        <v>1.6773693874144513E-2</v>
      </c>
      <c r="AY86" s="22">
        <f t="shared" si="75"/>
        <v>502456</v>
      </c>
      <c r="AZ86" s="22">
        <f t="shared" si="76"/>
        <v>0</v>
      </c>
      <c r="BA86" s="22">
        <f t="shared" si="76"/>
        <v>0</v>
      </c>
      <c r="BB86" s="22">
        <f t="shared" si="76"/>
        <v>0</v>
      </c>
      <c r="BC86" s="22">
        <f t="shared" si="76"/>
        <v>0</v>
      </c>
      <c r="BD86" s="22">
        <f t="shared" si="76"/>
        <v>0</v>
      </c>
      <c r="BE86" s="22">
        <f t="shared" si="76"/>
        <v>0</v>
      </c>
      <c r="BF86" s="22">
        <f t="shared" si="76"/>
        <v>0</v>
      </c>
      <c r="BG86" s="22">
        <f t="shared" si="76"/>
        <v>0</v>
      </c>
      <c r="BH86" s="22">
        <f t="shared" si="76"/>
        <v>0</v>
      </c>
      <c r="BI86" s="22">
        <f t="shared" si="76"/>
        <v>0</v>
      </c>
      <c r="BJ86" s="22">
        <f t="shared" si="76"/>
        <v>0</v>
      </c>
      <c r="BK86" s="22">
        <f t="shared" si="76"/>
        <v>0</v>
      </c>
      <c r="BL86" s="22">
        <f t="shared" si="76"/>
        <v>0</v>
      </c>
      <c r="BM86" s="22">
        <f t="shared" si="76"/>
        <v>0</v>
      </c>
      <c r="BN86" s="22">
        <f t="shared" si="76"/>
        <v>0</v>
      </c>
      <c r="BO86" s="22">
        <f t="shared" si="76"/>
        <v>502456</v>
      </c>
      <c r="BP86" s="22">
        <f t="shared" si="77"/>
        <v>0</v>
      </c>
      <c r="BQ86" s="22">
        <f t="shared" si="77"/>
        <v>0</v>
      </c>
      <c r="BR86" s="22">
        <f t="shared" si="77"/>
        <v>0</v>
      </c>
      <c r="BS86" s="22">
        <f t="shared" si="77"/>
        <v>0</v>
      </c>
      <c r="BT86" s="23">
        <f t="shared" si="66"/>
        <v>0.98322630612585549</v>
      </c>
      <c r="BU86" s="22">
        <f t="shared" si="78"/>
        <v>29452544</v>
      </c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>
        <f>+'[5]AGOSTO 2017'!$Y$729</f>
        <v>29452544</v>
      </c>
      <c r="CL86" s="22"/>
      <c r="CM86" s="22"/>
      <c r="CN86" s="22"/>
      <c r="CO86" s="22"/>
      <c r="CP86" s="23">
        <f t="shared" si="58"/>
        <v>1.6773693874144513E-2</v>
      </c>
      <c r="CQ86" s="22">
        <f t="shared" si="79"/>
        <v>502456</v>
      </c>
      <c r="CR86" s="22">
        <f t="shared" si="82"/>
        <v>0</v>
      </c>
      <c r="CS86" s="22">
        <f t="shared" si="82"/>
        <v>0</v>
      </c>
      <c r="CT86" s="22">
        <f t="shared" si="82"/>
        <v>0</v>
      </c>
      <c r="CU86" s="22">
        <f t="shared" si="82"/>
        <v>0</v>
      </c>
      <c r="CV86" s="22">
        <f t="shared" si="82"/>
        <v>0</v>
      </c>
      <c r="CW86" s="22">
        <f t="shared" si="82"/>
        <v>0</v>
      </c>
      <c r="CX86" s="22">
        <f t="shared" si="82"/>
        <v>0</v>
      </c>
      <c r="CY86" s="22">
        <f t="shared" si="82"/>
        <v>0</v>
      </c>
      <c r="CZ86" s="22">
        <f t="shared" si="82"/>
        <v>0</v>
      </c>
      <c r="DA86" s="22">
        <f t="shared" si="82"/>
        <v>0</v>
      </c>
      <c r="DB86" s="22">
        <f t="shared" si="82"/>
        <v>0</v>
      </c>
      <c r="DC86" s="22">
        <f t="shared" si="82"/>
        <v>0</v>
      </c>
      <c r="DD86" s="22">
        <f t="shared" si="82"/>
        <v>0</v>
      </c>
      <c r="DE86" s="22">
        <f t="shared" si="82"/>
        <v>0</v>
      </c>
      <c r="DF86" s="22">
        <f t="shared" si="82"/>
        <v>0</v>
      </c>
      <c r="DG86" s="22">
        <f t="shared" si="82"/>
        <v>502456</v>
      </c>
      <c r="DH86" s="22">
        <f t="shared" si="80"/>
        <v>0</v>
      </c>
      <c r="DI86" s="22">
        <f t="shared" si="81"/>
        <v>0</v>
      </c>
      <c r="DJ86" s="22">
        <f t="shared" si="81"/>
        <v>0</v>
      </c>
      <c r="DK86" s="22">
        <f t="shared" si="81"/>
        <v>0</v>
      </c>
      <c r="DM86" s="26">
        <f t="shared" si="26"/>
        <v>29955000</v>
      </c>
      <c r="DN86" s="26">
        <f t="shared" si="27"/>
        <v>29955000</v>
      </c>
      <c r="DO86" s="26">
        <f t="shared" si="28"/>
        <v>29955000</v>
      </c>
    </row>
    <row r="87" spans="1:119" ht="25.5" customHeight="1" x14ac:dyDescent="0.25">
      <c r="A87" s="203"/>
      <c r="B87" s="68" t="s">
        <v>268</v>
      </c>
      <c r="C87" s="81" t="s">
        <v>269</v>
      </c>
      <c r="D87" s="19" t="s">
        <v>270</v>
      </c>
      <c r="E87" s="28">
        <v>301</v>
      </c>
      <c r="F87" s="21" t="s">
        <v>271</v>
      </c>
      <c r="G87" s="22">
        <f t="shared" si="73"/>
        <v>514028160</v>
      </c>
      <c r="H87" s="22">
        <v>30000000</v>
      </c>
      <c r="I87" s="22">
        <v>270000000</v>
      </c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>
        <v>115000000</v>
      </c>
      <c r="U87" s="22">
        <v>17000000</v>
      </c>
      <c r="V87" s="22">
        <v>80000000</v>
      </c>
      <c r="W87" s="22"/>
      <c r="X87" s="22"/>
      <c r="Y87" s="22"/>
      <c r="Z87" s="22"/>
      <c r="AA87" s="22">
        <f>1000000+1028160</f>
        <v>2028160</v>
      </c>
      <c r="AB87" s="23">
        <f t="shared" si="63"/>
        <v>0.99805458128986557</v>
      </c>
      <c r="AC87" s="22">
        <f t="shared" si="74"/>
        <v>513028160</v>
      </c>
      <c r="AD87" s="22">
        <f>+'[5]AGOSTO 2017'!$J$739</f>
        <v>30000000</v>
      </c>
      <c r="AE87" s="22">
        <f>+'[5]AGOSTO 2017'!$K$739</f>
        <v>270000000</v>
      </c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>
        <f>+'[5]AGOSTO 2017'!$V$739</f>
        <v>115000000</v>
      </c>
      <c r="AQ87" s="22">
        <f>+'[6]JULIO 2017'!$W$605</f>
        <v>17000000</v>
      </c>
      <c r="AR87" s="22">
        <f>+'[5]AGOSTO 2017'!$X$739</f>
        <v>80000000</v>
      </c>
      <c r="AS87" s="22"/>
      <c r="AT87" s="22"/>
      <c r="AU87" s="22"/>
      <c r="AV87" s="22"/>
      <c r="AW87" s="22">
        <f>+'[3]JUNIO 2017'!$AC$468</f>
        <v>1028160</v>
      </c>
      <c r="AX87" s="23">
        <f t="shared" si="64"/>
        <v>1.9454187101344278E-3</v>
      </c>
      <c r="AY87" s="22">
        <f t="shared" si="75"/>
        <v>1000000</v>
      </c>
      <c r="AZ87" s="22">
        <f t="shared" si="76"/>
        <v>0</v>
      </c>
      <c r="BA87" s="22">
        <f t="shared" si="76"/>
        <v>0</v>
      </c>
      <c r="BB87" s="22">
        <f t="shared" si="76"/>
        <v>0</v>
      </c>
      <c r="BC87" s="22">
        <f t="shared" si="76"/>
        <v>0</v>
      </c>
      <c r="BD87" s="22">
        <f t="shared" si="76"/>
        <v>0</v>
      </c>
      <c r="BE87" s="22">
        <f t="shared" si="76"/>
        <v>0</v>
      </c>
      <c r="BF87" s="22">
        <f t="shared" si="76"/>
        <v>0</v>
      </c>
      <c r="BG87" s="22">
        <f t="shared" si="76"/>
        <v>0</v>
      </c>
      <c r="BH87" s="22">
        <f t="shared" si="76"/>
        <v>0</v>
      </c>
      <c r="BI87" s="22">
        <f t="shared" si="76"/>
        <v>0</v>
      </c>
      <c r="BJ87" s="22">
        <f t="shared" si="76"/>
        <v>0</v>
      </c>
      <c r="BK87" s="22">
        <f t="shared" si="76"/>
        <v>0</v>
      </c>
      <c r="BL87" s="22">
        <f t="shared" si="76"/>
        <v>0</v>
      </c>
      <c r="BM87" s="22">
        <f t="shared" si="76"/>
        <v>0</v>
      </c>
      <c r="BN87" s="22">
        <f t="shared" si="76"/>
        <v>0</v>
      </c>
      <c r="BO87" s="22">
        <f t="shared" si="76"/>
        <v>0</v>
      </c>
      <c r="BP87" s="22">
        <f t="shared" si="77"/>
        <v>0</v>
      </c>
      <c r="BQ87" s="22">
        <f t="shared" si="77"/>
        <v>0</v>
      </c>
      <c r="BR87" s="22">
        <f t="shared" si="77"/>
        <v>0</v>
      </c>
      <c r="BS87" s="22">
        <f t="shared" si="77"/>
        <v>1000000</v>
      </c>
      <c r="BT87" s="23">
        <f t="shared" si="66"/>
        <v>0.81012588298664412</v>
      </c>
      <c r="BU87" s="22">
        <f t="shared" si="78"/>
        <v>416427517</v>
      </c>
      <c r="BV87" s="22">
        <f>+'[2]FEBRERO 2017'!$H$297</f>
        <v>22000000</v>
      </c>
      <c r="BW87" s="22">
        <f>+'[6]JULIO 2017'!$H$610</f>
        <v>268649090</v>
      </c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>
        <f>+'[5]AGOSTO 2017'!$H$803+'[5]AGOSTO 2017'!$H$806+'[5]AGOSTO 2017'!$H$821</f>
        <v>110056741</v>
      </c>
      <c r="CI87" s="22">
        <f>+'[5]AGOSTO 2017'!$H$813</f>
        <v>11693526</v>
      </c>
      <c r="CJ87" s="22">
        <f>+'[5]AGOSTO 2017'!$H$811</f>
        <v>3000000</v>
      </c>
      <c r="CK87" s="22"/>
      <c r="CL87" s="22"/>
      <c r="CM87" s="22"/>
      <c r="CN87" s="22"/>
      <c r="CO87" s="22">
        <f>+'[6]JULIO 2017'!$H$667</f>
        <v>1028160</v>
      </c>
      <c r="CP87" s="23">
        <f t="shared" si="58"/>
        <v>0.18987411701335588</v>
      </c>
      <c r="CQ87" s="22">
        <f t="shared" si="79"/>
        <v>97600643</v>
      </c>
      <c r="CR87" s="22">
        <f t="shared" si="82"/>
        <v>8000000</v>
      </c>
      <c r="CS87" s="22">
        <f t="shared" si="82"/>
        <v>1350910</v>
      </c>
      <c r="CT87" s="22">
        <f t="shared" si="82"/>
        <v>0</v>
      </c>
      <c r="CU87" s="22">
        <f t="shared" si="82"/>
        <v>0</v>
      </c>
      <c r="CV87" s="22">
        <f t="shared" si="82"/>
        <v>0</v>
      </c>
      <c r="CW87" s="22">
        <f t="shared" si="82"/>
        <v>0</v>
      </c>
      <c r="CX87" s="22">
        <f t="shared" si="82"/>
        <v>0</v>
      </c>
      <c r="CY87" s="22">
        <f t="shared" si="82"/>
        <v>0</v>
      </c>
      <c r="CZ87" s="22">
        <f t="shared" si="82"/>
        <v>0</v>
      </c>
      <c r="DA87" s="22">
        <f t="shared" si="82"/>
        <v>0</v>
      </c>
      <c r="DB87" s="22">
        <f t="shared" si="82"/>
        <v>0</v>
      </c>
      <c r="DC87" s="22">
        <f t="shared" si="82"/>
        <v>0</v>
      </c>
      <c r="DD87" s="22">
        <f t="shared" si="82"/>
        <v>4943259</v>
      </c>
      <c r="DE87" s="22">
        <f t="shared" si="82"/>
        <v>5306474</v>
      </c>
      <c r="DF87" s="22">
        <f t="shared" si="82"/>
        <v>77000000</v>
      </c>
      <c r="DG87" s="22">
        <f t="shared" si="82"/>
        <v>0</v>
      </c>
      <c r="DH87" s="22">
        <f t="shared" si="80"/>
        <v>0</v>
      </c>
      <c r="DI87" s="22">
        <f t="shared" si="81"/>
        <v>0</v>
      </c>
      <c r="DJ87" s="22">
        <f t="shared" si="81"/>
        <v>0</v>
      </c>
      <c r="DK87" s="22">
        <f t="shared" si="81"/>
        <v>1000000</v>
      </c>
      <c r="DM87" s="26">
        <f t="shared" si="26"/>
        <v>514028160</v>
      </c>
      <c r="DN87" s="26">
        <f t="shared" si="27"/>
        <v>514028160</v>
      </c>
      <c r="DO87" s="26">
        <f t="shared" si="28"/>
        <v>514028160</v>
      </c>
    </row>
    <row r="88" spans="1:119" ht="39" customHeight="1" x14ac:dyDescent="0.25">
      <c r="A88" s="203"/>
      <c r="B88" s="59" t="s">
        <v>272</v>
      </c>
      <c r="C88" s="53" t="s">
        <v>273</v>
      </c>
      <c r="D88" s="19" t="s">
        <v>274</v>
      </c>
      <c r="E88" s="20">
        <v>301</v>
      </c>
      <c r="F88" s="21" t="s">
        <v>275</v>
      </c>
      <c r="G88" s="22">
        <f t="shared" si="73"/>
        <v>416048971</v>
      </c>
      <c r="H88" s="22">
        <v>20000000</v>
      </c>
      <c r="I88" s="22">
        <v>270000000</v>
      </c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>
        <v>115450000</v>
      </c>
      <c r="U88" s="22"/>
      <c r="V88" s="22"/>
      <c r="W88" s="22"/>
      <c r="X88" s="22"/>
      <c r="Y88" s="22"/>
      <c r="Z88" s="22"/>
      <c r="AA88" s="22">
        <f>3000000+2098971+5500000</f>
        <v>10598971</v>
      </c>
      <c r="AB88" s="23">
        <f t="shared" si="63"/>
        <v>0.86157648975413526</v>
      </c>
      <c r="AC88" s="22">
        <f t="shared" si="74"/>
        <v>358458012</v>
      </c>
      <c r="AD88" s="22">
        <f>+'[1]ENERO 2017'!$J$213</f>
        <v>20000000</v>
      </c>
      <c r="AE88" s="22">
        <f>+'[1]ENERO 2017'!$K$213</f>
        <v>270000000</v>
      </c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>
        <f>+'[6]JULIO 2017'!$V$679</f>
        <v>60958012</v>
      </c>
      <c r="AQ88" s="22"/>
      <c r="AR88" s="22"/>
      <c r="AS88" s="22"/>
      <c r="AT88" s="22"/>
      <c r="AU88" s="22"/>
      <c r="AV88" s="22"/>
      <c r="AW88" s="22">
        <f>+'[5]AGOSTO 2017'!$AC$829</f>
        <v>7500000</v>
      </c>
      <c r="AX88" s="23">
        <f t="shared" si="64"/>
        <v>0.13842351024586474</v>
      </c>
      <c r="AY88" s="22">
        <f t="shared" si="75"/>
        <v>57590959</v>
      </c>
      <c r="AZ88" s="22">
        <f t="shared" si="76"/>
        <v>0</v>
      </c>
      <c r="BA88" s="22">
        <f t="shared" si="76"/>
        <v>0</v>
      </c>
      <c r="BB88" s="22">
        <f t="shared" si="76"/>
        <v>0</v>
      </c>
      <c r="BC88" s="22">
        <f t="shared" si="76"/>
        <v>0</v>
      </c>
      <c r="BD88" s="22">
        <f t="shared" si="76"/>
        <v>0</v>
      </c>
      <c r="BE88" s="22">
        <f t="shared" si="76"/>
        <v>0</v>
      </c>
      <c r="BF88" s="22">
        <f t="shared" si="76"/>
        <v>0</v>
      </c>
      <c r="BG88" s="22">
        <f t="shared" si="76"/>
        <v>0</v>
      </c>
      <c r="BH88" s="22">
        <f t="shared" si="76"/>
        <v>0</v>
      </c>
      <c r="BI88" s="22">
        <f t="shared" si="76"/>
        <v>0</v>
      </c>
      <c r="BJ88" s="22">
        <f t="shared" si="76"/>
        <v>0</v>
      </c>
      <c r="BK88" s="22">
        <f t="shared" si="76"/>
        <v>0</v>
      </c>
      <c r="BL88" s="22">
        <f t="shared" si="76"/>
        <v>54491988</v>
      </c>
      <c r="BM88" s="22">
        <f t="shared" si="76"/>
        <v>0</v>
      </c>
      <c r="BN88" s="22">
        <f t="shared" si="76"/>
        <v>0</v>
      </c>
      <c r="BO88" s="22">
        <f t="shared" si="76"/>
        <v>0</v>
      </c>
      <c r="BP88" s="22">
        <f t="shared" si="77"/>
        <v>0</v>
      </c>
      <c r="BQ88" s="22">
        <f t="shared" si="77"/>
        <v>0</v>
      </c>
      <c r="BR88" s="22">
        <f t="shared" si="77"/>
        <v>0</v>
      </c>
      <c r="BS88" s="22">
        <f t="shared" si="77"/>
        <v>3098971</v>
      </c>
      <c r="BT88" s="23">
        <f t="shared" si="66"/>
        <v>0.85676926478926441</v>
      </c>
      <c r="BU88" s="22">
        <f t="shared" si="78"/>
        <v>356457971</v>
      </c>
      <c r="BV88" s="22">
        <f>+'[2]FEBRERO 2017'!$H$347</f>
        <v>20000000</v>
      </c>
      <c r="BW88" s="22">
        <f>+'[5]AGOSTO 2017'!$H$830+'[5]AGOSTO 2017'!$H$865</f>
        <v>269999999</v>
      </c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>
        <f>+'[5]AGOSTO 2017'!$H$874</f>
        <v>60958012</v>
      </c>
      <c r="CI88" s="22"/>
      <c r="CJ88" s="22"/>
      <c r="CK88" s="22"/>
      <c r="CL88" s="22"/>
      <c r="CM88" s="22"/>
      <c r="CN88" s="22"/>
      <c r="CO88" s="22">
        <f>+'[5]AGOSTO 2017'!$H$827-CH88-BW88-BV88</f>
        <v>5499960</v>
      </c>
      <c r="CP88" s="23">
        <f t="shared" si="58"/>
        <v>0.14323073521073559</v>
      </c>
      <c r="CQ88" s="22">
        <f t="shared" si="79"/>
        <v>59591000</v>
      </c>
      <c r="CR88" s="22">
        <f t="shared" si="82"/>
        <v>0</v>
      </c>
      <c r="CS88" s="22">
        <f t="shared" si="82"/>
        <v>1</v>
      </c>
      <c r="CT88" s="22">
        <f t="shared" si="82"/>
        <v>0</v>
      </c>
      <c r="CU88" s="22">
        <f t="shared" si="82"/>
        <v>0</v>
      </c>
      <c r="CV88" s="22">
        <f t="shared" si="82"/>
        <v>0</v>
      </c>
      <c r="CW88" s="22">
        <f t="shared" si="82"/>
        <v>0</v>
      </c>
      <c r="CX88" s="22">
        <f t="shared" si="82"/>
        <v>0</v>
      </c>
      <c r="CY88" s="22">
        <f t="shared" si="82"/>
        <v>0</v>
      </c>
      <c r="CZ88" s="22">
        <f t="shared" si="82"/>
        <v>0</v>
      </c>
      <c r="DA88" s="22">
        <f t="shared" si="82"/>
        <v>0</v>
      </c>
      <c r="DB88" s="22">
        <f t="shared" si="82"/>
        <v>0</v>
      </c>
      <c r="DC88" s="22">
        <f t="shared" si="82"/>
        <v>0</v>
      </c>
      <c r="DD88" s="22">
        <f t="shared" si="82"/>
        <v>54491988</v>
      </c>
      <c r="DE88" s="22">
        <f t="shared" si="82"/>
        <v>0</v>
      </c>
      <c r="DF88" s="22">
        <f t="shared" si="82"/>
        <v>0</v>
      </c>
      <c r="DG88" s="22">
        <f t="shared" si="82"/>
        <v>0</v>
      </c>
      <c r="DH88" s="22">
        <f t="shared" si="80"/>
        <v>0</v>
      </c>
      <c r="DI88" s="22">
        <f t="shared" si="81"/>
        <v>0</v>
      </c>
      <c r="DJ88" s="22">
        <f t="shared" si="81"/>
        <v>0</v>
      </c>
      <c r="DK88" s="22">
        <f t="shared" si="81"/>
        <v>5099011</v>
      </c>
      <c r="DM88" s="26">
        <f t="shared" si="26"/>
        <v>416048971</v>
      </c>
      <c r="DN88" s="26">
        <f t="shared" si="27"/>
        <v>416048971</v>
      </c>
      <c r="DO88" s="26">
        <f t="shared" si="28"/>
        <v>416048971</v>
      </c>
    </row>
    <row r="89" spans="1:119" ht="66.75" customHeight="1" x14ac:dyDescent="0.25">
      <c r="A89" s="203"/>
      <c r="B89" s="59" t="s">
        <v>276</v>
      </c>
      <c r="C89" s="53" t="s">
        <v>277</v>
      </c>
      <c r="D89" s="19" t="s">
        <v>278</v>
      </c>
      <c r="E89" s="20">
        <v>301</v>
      </c>
      <c r="F89" s="32" t="s">
        <v>279</v>
      </c>
      <c r="G89" s="22">
        <f t="shared" si="73"/>
        <v>125165225</v>
      </c>
      <c r="H89" s="22">
        <v>880851</v>
      </c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>
        <v>37683184</v>
      </c>
      <c r="X89" s="22"/>
      <c r="Y89" s="22"/>
      <c r="Z89" s="22"/>
      <c r="AA89" s="22">
        <f>33000000+4901190+5000000+5500000+4200000+30000000+4000000</f>
        <v>86601190</v>
      </c>
      <c r="AB89" s="23">
        <f t="shared" si="63"/>
        <v>0.69606480554003713</v>
      </c>
      <c r="AC89" s="22">
        <f t="shared" si="74"/>
        <v>87123108</v>
      </c>
      <c r="AD89" s="22">
        <f>+'[1]ENERO 2017'!$J$220</f>
        <v>880851</v>
      </c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>
        <f>+'[3]JUNIO 2017'!$Y$562</f>
        <v>37683184</v>
      </c>
      <c r="AT89" s="22"/>
      <c r="AU89" s="22"/>
      <c r="AV89" s="22"/>
      <c r="AW89" s="22">
        <f>+'[5]AGOSTO 2017'!$AC$895</f>
        <v>48559073</v>
      </c>
      <c r="AX89" s="23">
        <f t="shared" si="64"/>
        <v>0.30393519445996287</v>
      </c>
      <c r="AY89" s="22">
        <f t="shared" si="75"/>
        <v>38042117</v>
      </c>
      <c r="AZ89" s="22">
        <f t="shared" si="76"/>
        <v>0</v>
      </c>
      <c r="BA89" s="22">
        <f t="shared" si="76"/>
        <v>0</v>
      </c>
      <c r="BB89" s="22">
        <f t="shared" si="76"/>
        <v>0</v>
      </c>
      <c r="BC89" s="22">
        <f t="shared" si="76"/>
        <v>0</v>
      </c>
      <c r="BD89" s="22">
        <f t="shared" si="76"/>
        <v>0</v>
      </c>
      <c r="BE89" s="22">
        <f t="shared" si="76"/>
        <v>0</v>
      </c>
      <c r="BF89" s="22">
        <f t="shared" si="76"/>
        <v>0</v>
      </c>
      <c r="BG89" s="22">
        <f t="shared" si="76"/>
        <v>0</v>
      </c>
      <c r="BH89" s="22">
        <f t="shared" si="76"/>
        <v>0</v>
      </c>
      <c r="BI89" s="22">
        <f t="shared" si="76"/>
        <v>0</v>
      </c>
      <c r="BJ89" s="22">
        <f t="shared" si="76"/>
        <v>0</v>
      </c>
      <c r="BK89" s="22">
        <f t="shared" si="76"/>
        <v>0</v>
      </c>
      <c r="BL89" s="22">
        <f t="shared" si="76"/>
        <v>0</v>
      </c>
      <c r="BM89" s="22">
        <f t="shared" si="76"/>
        <v>0</v>
      </c>
      <c r="BN89" s="22">
        <f t="shared" si="76"/>
        <v>0</v>
      </c>
      <c r="BO89" s="22">
        <f t="shared" si="76"/>
        <v>0</v>
      </c>
      <c r="BP89" s="22">
        <f t="shared" si="77"/>
        <v>0</v>
      </c>
      <c r="BQ89" s="22">
        <f t="shared" si="77"/>
        <v>0</v>
      </c>
      <c r="BR89" s="22">
        <f t="shared" si="77"/>
        <v>0</v>
      </c>
      <c r="BS89" s="22">
        <f t="shared" si="77"/>
        <v>38042117</v>
      </c>
      <c r="BT89" s="23">
        <f t="shared" si="66"/>
        <v>0.6684714783998511</v>
      </c>
      <c r="BU89" s="22">
        <f t="shared" si="78"/>
        <v>83669383</v>
      </c>
      <c r="BV89" s="22">
        <f>+'[3]JUNIO 2017'!$H$566</f>
        <v>852667</v>
      </c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>
        <f>+'[5]AGOSTO 2017'!$H$896+'[5]AGOSTO 2017'!$H$921</f>
        <v>37602333</v>
      </c>
      <c r="CL89" s="22"/>
      <c r="CM89" s="22"/>
      <c r="CN89" s="22"/>
      <c r="CO89" s="22">
        <f>+'[5]AGOSTO 2017'!$H$893-CK89-BV89</f>
        <v>45214383</v>
      </c>
      <c r="CP89" s="23">
        <f t="shared" si="58"/>
        <v>0.3315285216001489</v>
      </c>
      <c r="CQ89" s="22">
        <f t="shared" si="79"/>
        <v>41495842</v>
      </c>
      <c r="CR89" s="22">
        <f t="shared" si="82"/>
        <v>28184</v>
      </c>
      <c r="CS89" s="22">
        <f t="shared" si="82"/>
        <v>0</v>
      </c>
      <c r="CT89" s="22">
        <f t="shared" si="82"/>
        <v>0</v>
      </c>
      <c r="CU89" s="22">
        <f t="shared" si="82"/>
        <v>0</v>
      </c>
      <c r="CV89" s="22">
        <f t="shared" si="82"/>
        <v>0</v>
      </c>
      <c r="CW89" s="22">
        <f t="shared" si="82"/>
        <v>0</v>
      </c>
      <c r="CX89" s="22">
        <f t="shared" si="82"/>
        <v>0</v>
      </c>
      <c r="CY89" s="22">
        <f t="shared" si="82"/>
        <v>0</v>
      </c>
      <c r="CZ89" s="22">
        <f t="shared" si="82"/>
        <v>0</v>
      </c>
      <c r="DA89" s="22">
        <f t="shared" si="82"/>
        <v>0</v>
      </c>
      <c r="DB89" s="22">
        <f t="shared" si="82"/>
        <v>0</v>
      </c>
      <c r="DC89" s="22">
        <f t="shared" si="82"/>
        <v>0</v>
      </c>
      <c r="DD89" s="22">
        <f t="shared" si="82"/>
        <v>0</v>
      </c>
      <c r="DE89" s="22">
        <f t="shared" si="82"/>
        <v>0</v>
      </c>
      <c r="DF89" s="22">
        <f t="shared" si="82"/>
        <v>0</v>
      </c>
      <c r="DG89" s="22">
        <f t="shared" si="82"/>
        <v>80851</v>
      </c>
      <c r="DH89" s="22">
        <f t="shared" si="80"/>
        <v>0</v>
      </c>
      <c r="DI89" s="22">
        <f t="shared" si="81"/>
        <v>0</v>
      </c>
      <c r="DJ89" s="22">
        <f t="shared" si="81"/>
        <v>0</v>
      </c>
      <c r="DK89" s="22">
        <f t="shared" si="81"/>
        <v>41386807</v>
      </c>
      <c r="DM89" s="26">
        <f t="shared" si="26"/>
        <v>125165225</v>
      </c>
      <c r="DN89" s="26">
        <f t="shared" si="27"/>
        <v>125165225</v>
      </c>
      <c r="DO89" s="26">
        <f t="shared" si="28"/>
        <v>125165225</v>
      </c>
    </row>
    <row r="90" spans="1:119" ht="27.75" customHeight="1" x14ac:dyDescent="0.25">
      <c r="A90" s="203"/>
      <c r="B90" s="191" t="s">
        <v>280</v>
      </c>
      <c r="C90" s="53" t="s">
        <v>281</v>
      </c>
      <c r="D90" s="19" t="s">
        <v>282</v>
      </c>
      <c r="E90" s="20">
        <v>301</v>
      </c>
      <c r="F90" s="21" t="s">
        <v>253</v>
      </c>
      <c r="G90" s="22">
        <f t="shared" si="73"/>
        <v>1459437569</v>
      </c>
      <c r="H90" s="22">
        <f>5000000+6859058</f>
        <v>11859058</v>
      </c>
      <c r="I90" s="22"/>
      <c r="J90" s="22"/>
      <c r="K90" s="22">
        <v>26578511</v>
      </c>
      <c r="L90" s="22"/>
      <c r="M90" s="22"/>
      <c r="N90" s="22"/>
      <c r="O90" s="22"/>
      <c r="P90" s="22"/>
      <c r="Q90" s="22"/>
      <c r="R90" s="22"/>
      <c r="S90" s="22"/>
      <c r="T90" s="22"/>
      <c r="U90" s="22">
        <v>28000000</v>
      </c>
      <c r="V90" s="22"/>
      <c r="W90" s="22">
        <v>1393000000</v>
      </c>
      <c r="X90" s="22"/>
      <c r="Y90" s="22"/>
      <c r="Z90" s="22"/>
      <c r="AA90" s="22"/>
      <c r="AB90" s="23">
        <f t="shared" si="63"/>
        <v>0.9721652279872206</v>
      </c>
      <c r="AC90" s="22">
        <f t="shared" si="74"/>
        <v>1418814457</v>
      </c>
      <c r="AD90" s="22"/>
      <c r="AE90" s="22"/>
      <c r="AF90" s="22"/>
      <c r="AG90" s="22">
        <f>+'[6]JULIO 2017'!$L$772</f>
        <v>18090667</v>
      </c>
      <c r="AH90" s="22"/>
      <c r="AI90" s="22"/>
      <c r="AJ90" s="22"/>
      <c r="AK90" s="22"/>
      <c r="AL90" s="22"/>
      <c r="AM90" s="22"/>
      <c r="AN90" s="22"/>
      <c r="AO90" s="22"/>
      <c r="AP90" s="22"/>
      <c r="AQ90" s="22">
        <f>+'[6]JULIO 2017'!$W$772</f>
        <v>28000000</v>
      </c>
      <c r="AR90" s="22"/>
      <c r="AS90" s="22">
        <f>+'[6]JULIO 2017'!$Y$772</f>
        <v>1372723790</v>
      </c>
      <c r="AT90" s="22"/>
      <c r="AU90" s="22"/>
      <c r="AV90" s="22"/>
      <c r="AW90" s="22"/>
      <c r="AX90" s="23">
        <f t="shared" si="64"/>
        <v>2.7834772012779396E-2</v>
      </c>
      <c r="AY90" s="22">
        <f t="shared" si="75"/>
        <v>40623112</v>
      </c>
      <c r="AZ90" s="22">
        <f t="shared" si="76"/>
        <v>11859058</v>
      </c>
      <c r="BA90" s="22">
        <f t="shared" si="76"/>
        <v>0</v>
      </c>
      <c r="BB90" s="22">
        <f t="shared" si="76"/>
        <v>0</v>
      </c>
      <c r="BC90" s="22">
        <f t="shared" si="76"/>
        <v>8487844</v>
      </c>
      <c r="BD90" s="22">
        <f t="shared" si="76"/>
        <v>0</v>
      </c>
      <c r="BE90" s="22">
        <f t="shared" si="76"/>
        <v>0</v>
      </c>
      <c r="BF90" s="22">
        <f t="shared" si="76"/>
        <v>0</v>
      </c>
      <c r="BG90" s="22">
        <f t="shared" si="76"/>
        <v>0</v>
      </c>
      <c r="BH90" s="22">
        <f t="shared" si="76"/>
        <v>0</v>
      </c>
      <c r="BI90" s="22">
        <f t="shared" si="76"/>
        <v>0</v>
      </c>
      <c r="BJ90" s="22">
        <f t="shared" si="76"/>
        <v>0</v>
      </c>
      <c r="BK90" s="22">
        <f t="shared" si="76"/>
        <v>0</v>
      </c>
      <c r="BL90" s="22">
        <f t="shared" si="76"/>
        <v>0</v>
      </c>
      <c r="BM90" s="22">
        <f t="shared" si="76"/>
        <v>0</v>
      </c>
      <c r="BN90" s="22">
        <f t="shared" si="76"/>
        <v>0</v>
      </c>
      <c r="BO90" s="22">
        <f t="shared" si="76"/>
        <v>20276210</v>
      </c>
      <c r="BP90" s="22">
        <f t="shared" si="77"/>
        <v>0</v>
      </c>
      <c r="BQ90" s="22">
        <f t="shared" si="77"/>
        <v>0</v>
      </c>
      <c r="BR90" s="22">
        <f t="shared" si="77"/>
        <v>0</v>
      </c>
      <c r="BS90" s="22">
        <f t="shared" si="77"/>
        <v>0</v>
      </c>
      <c r="BT90" s="23">
        <f t="shared" si="66"/>
        <v>0.95297975503877141</v>
      </c>
      <c r="BU90" s="22">
        <f t="shared" si="78"/>
        <v>1390814457</v>
      </c>
      <c r="BV90" s="22"/>
      <c r="BW90" s="22"/>
      <c r="BX90" s="22"/>
      <c r="BY90" s="22">
        <f>+'[6]JULIO 2017'!$H$780</f>
        <v>18090667</v>
      </c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>
        <f>+'[6]JULIO 2017'!$H$773+'[6]JULIO 2017'!$H$776+'[6]JULIO 2017'!$H$778</f>
        <v>1372723790</v>
      </c>
      <c r="CL90" s="22"/>
      <c r="CM90" s="22"/>
      <c r="CN90" s="22"/>
      <c r="CO90" s="22"/>
      <c r="CP90" s="23">
        <f t="shared" si="58"/>
        <v>4.7020244961228586E-2</v>
      </c>
      <c r="CQ90" s="22">
        <f t="shared" si="79"/>
        <v>68623112</v>
      </c>
      <c r="CR90" s="22">
        <f t="shared" si="82"/>
        <v>11859058</v>
      </c>
      <c r="CS90" s="22">
        <f t="shared" si="82"/>
        <v>0</v>
      </c>
      <c r="CT90" s="22">
        <f t="shared" si="82"/>
        <v>0</v>
      </c>
      <c r="CU90" s="22">
        <f t="shared" si="82"/>
        <v>8487844</v>
      </c>
      <c r="CV90" s="22">
        <f t="shared" si="82"/>
        <v>0</v>
      </c>
      <c r="CW90" s="22">
        <f t="shared" si="82"/>
        <v>0</v>
      </c>
      <c r="CX90" s="22">
        <f t="shared" si="82"/>
        <v>0</v>
      </c>
      <c r="CY90" s="22">
        <f t="shared" si="82"/>
        <v>0</v>
      </c>
      <c r="CZ90" s="22">
        <f t="shared" si="82"/>
        <v>0</v>
      </c>
      <c r="DA90" s="22">
        <f t="shared" si="82"/>
        <v>0</v>
      </c>
      <c r="DB90" s="22">
        <f t="shared" si="82"/>
        <v>0</v>
      </c>
      <c r="DC90" s="22">
        <f t="shared" si="82"/>
        <v>0</v>
      </c>
      <c r="DD90" s="22">
        <f t="shared" si="82"/>
        <v>0</v>
      </c>
      <c r="DE90" s="22">
        <f t="shared" si="82"/>
        <v>28000000</v>
      </c>
      <c r="DF90" s="22">
        <f t="shared" si="82"/>
        <v>0</v>
      </c>
      <c r="DG90" s="22">
        <f t="shared" si="82"/>
        <v>20276210</v>
      </c>
      <c r="DH90" s="22">
        <f t="shared" si="80"/>
        <v>0</v>
      </c>
      <c r="DI90" s="22">
        <f t="shared" si="81"/>
        <v>0</v>
      </c>
      <c r="DJ90" s="22">
        <f t="shared" si="81"/>
        <v>0</v>
      </c>
      <c r="DK90" s="22">
        <f t="shared" si="81"/>
        <v>0</v>
      </c>
      <c r="DM90" s="26">
        <f t="shared" si="26"/>
        <v>1459437569</v>
      </c>
      <c r="DN90" s="26">
        <f t="shared" si="27"/>
        <v>1459437569</v>
      </c>
      <c r="DO90" s="26">
        <f t="shared" si="28"/>
        <v>1459437569</v>
      </c>
    </row>
    <row r="91" spans="1:119" ht="28.5" customHeight="1" x14ac:dyDescent="0.25">
      <c r="A91" s="203"/>
      <c r="B91" s="189"/>
      <c r="C91" s="53" t="s">
        <v>283</v>
      </c>
      <c r="D91" s="19" t="s">
        <v>284</v>
      </c>
      <c r="E91" s="20">
        <v>301</v>
      </c>
      <c r="F91" s="21" t="s">
        <v>253</v>
      </c>
      <c r="G91" s="22">
        <f t="shared" si="73"/>
        <v>53000000</v>
      </c>
      <c r="H91" s="22"/>
      <c r="I91" s="22">
        <v>30000000</v>
      </c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>
        <v>23000000</v>
      </c>
      <c r="V91" s="22"/>
      <c r="W91" s="22"/>
      <c r="X91" s="22"/>
      <c r="Y91" s="22"/>
      <c r="Z91" s="22"/>
      <c r="AA91" s="22"/>
      <c r="AB91" s="23">
        <f t="shared" si="63"/>
        <v>0.99284666037735847</v>
      </c>
      <c r="AC91" s="22">
        <f t="shared" si="74"/>
        <v>52620873</v>
      </c>
      <c r="AD91" s="22"/>
      <c r="AE91" s="22">
        <f>+'[6]JULIO 2017'!$K$786</f>
        <v>29620873</v>
      </c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>
        <f>+'[6]JULIO 2017'!$W$786</f>
        <v>23000000</v>
      </c>
      <c r="AR91" s="22"/>
      <c r="AS91" s="22"/>
      <c r="AT91" s="22"/>
      <c r="AU91" s="22"/>
      <c r="AV91" s="22"/>
      <c r="AW91" s="22"/>
      <c r="AX91" s="23">
        <f t="shared" si="64"/>
        <v>7.1533396226415302E-3</v>
      </c>
      <c r="AY91" s="22">
        <f t="shared" si="75"/>
        <v>379127</v>
      </c>
      <c r="AZ91" s="22">
        <f t="shared" si="76"/>
        <v>0</v>
      </c>
      <c r="BA91" s="22">
        <f t="shared" si="76"/>
        <v>379127</v>
      </c>
      <c r="BB91" s="22">
        <f t="shared" si="76"/>
        <v>0</v>
      </c>
      <c r="BC91" s="22">
        <f t="shared" si="76"/>
        <v>0</v>
      </c>
      <c r="BD91" s="22">
        <f t="shared" si="76"/>
        <v>0</v>
      </c>
      <c r="BE91" s="22">
        <f t="shared" si="76"/>
        <v>0</v>
      </c>
      <c r="BF91" s="22">
        <f t="shared" si="76"/>
        <v>0</v>
      </c>
      <c r="BG91" s="22">
        <f t="shared" si="76"/>
        <v>0</v>
      </c>
      <c r="BH91" s="22">
        <f t="shared" si="76"/>
        <v>0</v>
      </c>
      <c r="BI91" s="22">
        <f t="shared" si="76"/>
        <v>0</v>
      </c>
      <c r="BJ91" s="22">
        <f t="shared" si="76"/>
        <v>0</v>
      </c>
      <c r="BK91" s="22">
        <f t="shared" si="76"/>
        <v>0</v>
      </c>
      <c r="BL91" s="22">
        <f t="shared" si="76"/>
        <v>0</v>
      </c>
      <c r="BM91" s="22">
        <f t="shared" si="76"/>
        <v>0</v>
      </c>
      <c r="BN91" s="22">
        <f t="shared" si="76"/>
        <v>0</v>
      </c>
      <c r="BO91" s="22">
        <f t="shared" si="76"/>
        <v>0</v>
      </c>
      <c r="BP91" s="22">
        <f t="shared" si="77"/>
        <v>0</v>
      </c>
      <c r="BQ91" s="22">
        <f t="shared" si="77"/>
        <v>0</v>
      </c>
      <c r="BR91" s="22">
        <f t="shared" si="77"/>
        <v>0</v>
      </c>
      <c r="BS91" s="22">
        <f t="shared" si="77"/>
        <v>0</v>
      </c>
      <c r="BT91" s="23">
        <f t="shared" si="66"/>
        <v>0.96505088679245288</v>
      </c>
      <c r="BU91" s="22">
        <f t="shared" si="78"/>
        <v>51147697</v>
      </c>
      <c r="BV91" s="22"/>
      <c r="BW91" s="22">
        <f>+'[6]JULIO 2017'!$H$787</f>
        <v>29595981</v>
      </c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>
        <f>+'[5]AGOSTO 2017'!$H$951</f>
        <v>21551716</v>
      </c>
      <c r="CJ91" s="22"/>
      <c r="CK91" s="22"/>
      <c r="CL91" s="22"/>
      <c r="CM91" s="22"/>
      <c r="CN91" s="22"/>
      <c r="CO91" s="22"/>
      <c r="CP91" s="23">
        <f t="shared" si="58"/>
        <v>3.4949113207547122E-2</v>
      </c>
      <c r="CQ91" s="22">
        <f t="shared" si="79"/>
        <v>1852303</v>
      </c>
      <c r="CR91" s="22">
        <f t="shared" si="82"/>
        <v>0</v>
      </c>
      <c r="CS91" s="22">
        <f t="shared" si="82"/>
        <v>404019</v>
      </c>
      <c r="CT91" s="22">
        <f t="shared" si="82"/>
        <v>0</v>
      </c>
      <c r="CU91" s="22">
        <f t="shared" si="82"/>
        <v>0</v>
      </c>
      <c r="CV91" s="22">
        <f t="shared" si="82"/>
        <v>0</v>
      </c>
      <c r="CW91" s="22">
        <f t="shared" si="82"/>
        <v>0</v>
      </c>
      <c r="CX91" s="22">
        <f t="shared" si="82"/>
        <v>0</v>
      </c>
      <c r="CY91" s="22">
        <f t="shared" si="82"/>
        <v>0</v>
      </c>
      <c r="CZ91" s="22">
        <f t="shared" si="82"/>
        <v>0</v>
      </c>
      <c r="DA91" s="22">
        <f t="shared" si="82"/>
        <v>0</v>
      </c>
      <c r="DB91" s="22">
        <f t="shared" si="82"/>
        <v>0</v>
      </c>
      <c r="DC91" s="22">
        <f t="shared" si="82"/>
        <v>0</v>
      </c>
      <c r="DD91" s="22">
        <f t="shared" si="82"/>
        <v>0</v>
      </c>
      <c r="DE91" s="22">
        <f t="shared" si="82"/>
        <v>1448284</v>
      </c>
      <c r="DF91" s="22">
        <f t="shared" si="82"/>
        <v>0</v>
      </c>
      <c r="DG91" s="22">
        <f t="shared" si="82"/>
        <v>0</v>
      </c>
      <c r="DH91" s="22">
        <f t="shared" si="80"/>
        <v>0</v>
      </c>
      <c r="DI91" s="22">
        <f t="shared" si="81"/>
        <v>0</v>
      </c>
      <c r="DJ91" s="22">
        <f t="shared" si="81"/>
        <v>0</v>
      </c>
      <c r="DK91" s="22">
        <f t="shared" si="81"/>
        <v>0</v>
      </c>
      <c r="DM91" s="26">
        <f t="shared" si="26"/>
        <v>53000000</v>
      </c>
      <c r="DN91" s="26">
        <f t="shared" si="27"/>
        <v>53000000</v>
      </c>
      <c r="DO91" s="26">
        <f t="shared" si="28"/>
        <v>53000000</v>
      </c>
    </row>
    <row r="92" spans="1:119" ht="24" x14ac:dyDescent="0.25">
      <c r="A92" s="203"/>
      <c r="B92" s="190"/>
      <c r="C92" s="53" t="s">
        <v>285</v>
      </c>
      <c r="D92" s="19" t="s">
        <v>286</v>
      </c>
      <c r="E92" s="82">
        <v>301</v>
      </c>
      <c r="F92" s="21" t="s">
        <v>287</v>
      </c>
      <c r="G92" s="22">
        <f t="shared" si="73"/>
        <v>87213154</v>
      </c>
      <c r="H92" s="22"/>
      <c r="I92" s="22">
        <v>84000000</v>
      </c>
      <c r="J92" s="22"/>
      <c r="K92" s="22"/>
      <c r="L92" s="22"/>
      <c r="M92" s="22"/>
      <c r="N92" s="22"/>
      <c r="O92" s="22"/>
      <c r="P92" s="22"/>
      <c r="Q92" s="22"/>
      <c r="R92" s="22"/>
      <c r="S92" s="22">
        <v>2213154</v>
      </c>
      <c r="T92" s="22"/>
      <c r="U92" s="22"/>
      <c r="V92" s="22"/>
      <c r="W92" s="22"/>
      <c r="X92" s="22"/>
      <c r="Y92" s="22"/>
      <c r="Z92" s="22"/>
      <c r="AA92" s="22">
        <f>1000000</f>
        <v>1000000</v>
      </c>
      <c r="AB92" s="23">
        <f t="shared" si="63"/>
        <v>0.96315746131598456</v>
      </c>
      <c r="AC92" s="22">
        <f t="shared" si="74"/>
        <v>84000000</v>
      </c>
      <c r="AD92" s="22"/>
      <c r="AE92" s="22">
        <f>+'[1]ENERO 2017'!$K$244</f>
        <v>84000000</v>
      </c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3">
        <f t="shared" si="64"/>
        <v>3.6842538684015436E-2</v>
      </c>
      <c r="AY92" s="22">
        <f t="shared" si="75"/>
        <v>3213154</v>
      </c>
      <c r="AZ92" s="22">
        <f t="shared" si="76"/>
        <v>0</v>
      </c>
      <c r="BA92" s="22">
        <f t="shared" si="76"/>
        <v>0</v>
      </c>
      <c r="BB92" s="22">
        <f t="shared" si="76"/>
        <v>0</v>
      </c>
      <c r="BC92" s="22">
        <f t="shared" si="76"/>
        <v>0</v>
      </c>
      <c r="BD92" s="22">
        <f t="shared" si="76"/>
        <v>0</v>
      </c>
      <c r="BE92" s="22">
        <f t="shared" si="76"/>
        <v>0</v>
      </c>
      <c r="BF92" s="22">
        <f t="shared" si="76"/>
        <v>0</v>
      </c>
      <c r="BG92" s="22">
        <f t="shared" si="76"/>
        <v>0</v>
      </c>
      <c r="BH92" s="22">
        <f t="shared" si="76"/>
        <v>0</v>
      </c>
      <c r="BI92" s="22">
        <f t="shared" si="76"/>
        <v>0</v>
      </c>
      <c r="BJ92" s="22">
        <f t="shared" si="76"/>
        <v>0</v>
      </c>
      <c r="BK92" s="22">
        <f t="shared" si="76"/>
        <v>2213154</v>
      </c>
      <c r="BL92" s="22">
        <f t="shared" si="76"/>
        <v>0</v>
      </c>
      <c r="BM92" s="22">
        <f t="shared" si="76"/>
        <v>0</v>
      </c>
      <c r="BN92" s="22">
        <f t="shared" si="76"/>
        <v>0</v>
      </c>
      <c r="BO92" s="22">
        <f t="shared" si="76"/>
        <v>0</v>
      </c>
      <c r="BP92" s="22">
        <f t="shared" si="77"/>
        <v>0</v>
      </c>
      <c r="BQ92" s="22">
        <f t="shared" si="77"/>
        <v>0</v>
      </c>
      <c r="BR92" s="22">
        <f t="shared" si="77"/>
        <v>0</v>
      </c>
      <c r="BS92" s="22">
        <f t="shared" si="77"/>
        <v>1000000</v>
      </c>
      <c r="BT92" s="23">
        <f t="shared" si="66"/>
        <v>0.95048518713128982</v>
      </c>
      <c r="BU92" s="22">
        <f t="shared" si="78"/>
        <v>82894811</v>
      </c>
      <c r="BV92" s="22"/>
      <c r="BW92" s="22">
        <f>+'[5]AGOSTO 2017'!$H$957</f>
        <v>82894811</v>
      </c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3">
        <f t="shared" si="58"/>
        <v>4.9514812868710179E-2</v>
      </c>
      <c r="CQ92" s="22">
        <f t="shared" si="79"/>
        <v>4318343</v>
      </c>
      <c r="CR92" s="22">
        <f t="shared" si="82"/>
        <v>0</v>
      </c>
      <c r="CS92" s="22">
        <f t="shared" si="82"/>
        <v>1105189</v>
      </c>
      <c r="CT92" s="22">
        <f t="shared" si="82"/>
        <v>0</v>
      </c>
      <c r="CU92" s="22">
        <f t="shared" si="82"/>
        <v>0</v>
      </c>
      <c r="CV92" s="22">
        <f t="shared" si="82"/>
        <v>0</v>
      </c>
      <c r="CW92" s="22">
        <f t="shared" si="82"/>
        <v>0</v>
      </c>
      <c r="CX92" s="22">
        <f t="shared" si="82"/>
        <v>0</v>
      </c>
      <c r="CY92" s="22">
        <f t="shared" si="82"/>
        <v>0</v>
      </c>
      <c r="CZ92" s="22">
        <f t="shared" si="82"/>
        <v>0</v>
      </c>
      <c r="DA92" s="22">
        <f t="shared" si="82"/>
        <v>0</v>
      </c>
      <c r="DB92" s="22">
        <f t="shared" si="82"/>
        <v>0</v>
      </c>
      <c r="DC92" s="22">
        <f t="shared" si="82"/>
        <v>2213154</v>
      </c>
      <c r="DD92" s="22">
        <f t="shared" si="82"/>
        <v>0</v>
      </c>
      <c r="DE92" s="22">
        <f t="shared" si="82"/>
        <v>0</v>
      </c>
      <c r="DF92" s="22">
        <f t="shared" si="82"/>
        <v>0</v>
      </c>
      <c r="DG92" s="22">
        <f t="shared" si="82"/>
        <v>0</v>
      </c>
      <c r="DH92" s="22">
        <f t="shared" si="80"/>
        <v>0</v>
      </c>
      <c r="DI92" s="22">
        <f t="shared" si="81"/>
        <v>0</v>
      </c>
      <c r="DJ92" s="22">
        <f t="shared" si="81"/>
        <v>0</v>
      </c>
      <c r="DK92" s="22">
        <f t="shared" si="81"/>
        <v>1000000</v>
      </c>
      <c r="DM92" s="26">
        <f t="shared" ref="DM92:DM114" si="83">+G92</f>
        <v>87213154</v>
      </c>
      <c r="DN92" s="26">
        <f t="shared" ref="DN92:DN114" si="84">+AC92+AY92</f>
        <v>87213154</v>
      </c>
      <c r="DO92" s="26">
        <f t="shared" ref="DO92:DO114" si="85">+BU92+CQ92</f>
        <v>87213154</v>
      </c>
    </row>
    <row r="93" spans="1:119" ht="24.95" customHeight="1" x14ac:dyDescent="0.25">
      <c r="A93" s="203"/>
      <c r="B93" s="59" t="s">
        <v>288</v>
      </c>
      <c r="C93" s="53" t="s">
        <v>289</v>
      </c>
      <c r="D93" s="19" t="s">
        <v>290</v>
      </c>
      <c r="E93" s="82">
        <v>301</v>
      </c>
      <c r="F93" s="21" t="s">
        <v>253</v>
      </c>
      <c r="G93" s="22">
        <f t="shared" si="73"/>
        <v>50000000</v>
      </c>
      <c r="H93" s="22"/>
      <c r="I93" s="22"/>
      <c r="J93" s="22">
        <v>50000000</v>
      </c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3">
        <f t="shared" si="63"/>
        <v>1</v>
      </c>
      <c r="AC93" s="22">
        <f t="shared" si="74"/>
        <v>50000000</v>
      </c>
      <c r="AD93" s="22"/>
      <c r="AE93" s="22"/>
      <c r="AF93" s="22">
        <f>+'[1]ENERO 2017'!$L$252</f>
        <v>50000000</v>
      </c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3">
        <f t="shared" si="64"/>
        <v>0</v>
      </c>
      <c r="AY93" s="22">
        <f t="shared" si="75"/>
        <v>0</v>
      </c>
      <c r="AZ93" s="22">
        <f t="shared" si="76"/>
        <v>0</v>
      </c>
      <c r="BA93" s="22">
        <f t="shared" si="76"/>
        <v>0</v>
      </c>
      <c r="BB93" s="22">
        <f t="shared" si="76"/>
        <v>0</v>
      </c>
      <c r="BC93" s="22">
        <f t="shared" si="76"/>
        <v>0</v>
      </c>
      <c r="BD93" s="22">
        <f t="shared" si="76"/>
        <v>0</v>
      </c>
      <c r="BE93" s="22">
        <f t="shared" si="76"/>
        <v>0</v>
      </c>
      <c r="BF93" s="22">
        <f t="shared" si="76"/>
        <v>0</v>
      </c>
      <c r="BG93" s="22">
        <f t="shared" si="76"/>
        <v>0</v>
      </c>
      <c r="BH93" s="22">
        <f t="shared" si="76"/>
        <v>0</v>
      </c>
      <c r="BI93" s="22">
        <f t="shared" si="76"/>
        <v>0</v>
      </c>
      <c r="BJ93" s="22">
        <f t="shared" si="76"/>
        <v>0</v>
      </c>
      <c r="BK93" s="22">
        <f t="shared" si="76"/>
        <v>0</v>
      </c>
      <c r="BL93" s="22">
        <f t="shared" si="76"/>
        <v>0</v>
      </c>
      <c r="BM93" s="22">
        <f t="shared" si="76"/>
        <v>0</v>
      </c>
      <c r="BN93" s="22">
        <f t="shared" si="76"/>
        <v>0</v>
      </c>
      <c r="BO93" s="22">
        <f t="shared" si="77"/>
        <v>0</v>
      </c>
      <c r="BP93" s="22">
        <f t="shared" si="77"/>
        <v>0</v>
      </c>
      <c r="BQ93" s="22">
        <f t="shared" si="77"/>
        <v>0</v>
      </c>
      <c r="BR93" s="22">
        <f t="shared" si="77"/>
        <v>0</v>
      </c>
      <c r="BS93" s="22">
        <f t="shared" si="77"/>
        <v>0</v>
      </c>
      <c r="BT93" s="23">
        <f t="shared" si="66"/>
        <v>0.74447306000000002</v>
      </c>
      <c r="BU93" s="22">
        <f t="shared" si="78"/>
        <v>37223653</v>
      </c>
      <c r="BV93" s="22"/>
      <c r="BW93" s="22"/>
      <c r="BX93" s="22">
        <f>+'[5]AGOSTO 2017'!$H$989</f>
        <v>37223653</v>
      </c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3">
        <f t="shared" si="58"/>
        <v>0.25552693999999998</v>
      </c>
      <c r="CQ93" s="22">
        <f t="shared" si="79"/>
        <v>12776347</v>
      </c>
      <c r="CR93" s="22">
        <f t="shared" si="82"/>
        <v>0</v>
      </c>
      <c r="CS93" s="22">
        <f t="shared" si="82"/>
        <v>0</v>
      </c>
      <c r="CT93" s="22">
        <f t="shared" si="82"/>
        <v>12776347</v>
      </c>
      <c r="CU93" s="22">
        <f t="shared" si="82"/>
        <v>0</v>
      </c>
      <c r="CV93" s="22">
        <f t="shared" si="82"/>
        <v>0</v>
      </c>
      <c r="CW93" s="22">
        <f t="shared" si="82"/>
        <v>0</v>
      </c>
      <c r="CX93" s="22">
        <f t="shared" si="82"/>
        <v>0</v>
      </c>
      <c r="CY93" s="22">
        <f t="shared" si="82"/>
        <v>0</v>
      </c>
      <c r="CZ93" s="22">
        <f t="shared" si="82"/>
        <v>0</v>
      </c>
      <c r="DA93" s="22">
        <f t="shared" si="82"/>
        <v>0</v>
      </c>
      <c r="DB93" s="22">
        <f t="shared" si="82"/>
        <v>0</v>
      </c>
      <c r="DC93" s="22">
        <f t="shared" si="82"/>
        <v>0</v>
      </c>
      <c r="DD93" s="22">
        <f t="shared" si="82"/>
        <v>0</v>
      </c>
      <c r="DE93" s="22">
        <f t="shared" si="82"/>
        <v>0</v>
      </c>
      <c r="DF93" s="22">
        <f t="shared" si="82"/>
        <v>0</v>
      </c>
      <c r="DG93" s="22">
        <f t="shared" si="82"/>
        <v>0</v>
      </c>
      <c r="DH93" s="22">
        <f t="shared" si="80"/>
        <v>0</v>
      </c>
      <c r="DI93" s="22">
        <f t="shared" si="81"/>
        <v>0</v>
      </c>
      <c r="DJ93" s="22">
        <f t="shared" si="81"/>
        <v>0</v>
      </c>
      <c r="DK93" s="22">
        <f t="shared" si="81"/>
        <v>0</v>
      </c>
      <c r="DM93" s="26">
        <f t="shared" si="83"/>
        <v>50000000</v>
      </c>
      <c r="DN93" s="26">
        <f t="shared" si="84"/>
        <v>50000000</v>
      </c>
      <c r="DO93" s="26">
        <f t="shared" si="85"/>
        <v>50000000</v>
      </c>
    </row>
    <row r="94" spans="1:119" s="47" customFormat="1" ht="21" customHeight="1" thickBot="1" x14ac:dyDescent="0.3">
      <c r="A94" s="79"/>
      <c r="B94" s="204" t="s">
        <v>291</v>
      </c>
      <c r="C94" s="205"/>
      <c r="D94" s="205"/>
      <c r="E94" s="205"/>
      <c r="F94" s="206"/>
      <c r="G94" s="62">
        <f t="shared" ref="G94:AA94" si="86">SUM(G80:G93)</f>
        <v>3178839833</v>
      </c>
      <c r="H94" s="62">
        <f t="shared" si="86"/>
        <v>277739909</v>
      </c>
      <c r="I94" s="62">
        <f t="shared" si="86"/>
        <v>714000000</v>
      </c>
      <c r="J94" s="62">
        <f t="shared" si="86"/>
        <v>50000000</v>
      </c>
      <c r="K94" s="62">
        <f t="shared" si="86"/>
        <v>26578511</v>
      </c>
      <c r="L94" s="62">
        <f t="shared" si="86"/>
        <v>0</v>
      </c>
      <c r="M94" s="62">
        <f t="shared" si="86"/>
        <v>0</v>
      </c>
      <c r="N94" s="62">
        <f t="shared" si="86"/>
        <v>0</v>
      </c>
      <c r="O94" s="62">
        <f t="shared" si="86"/>
        <v>0</v>
      </c>
      <c r="P94" s="62">
        <f t="shared" si="86"/>
        <v>0</v>
      </c>
      <c r="Q94" s="62">
        <f t="shared" si="86"/>
        <v>0</v>
      </c>
      <c r="R94" s="62">
        <f t="shared" si="86"/>
        <v>0</v>
      </c>
      <c r="S94" s="62">
        <f t="shared" si="86"/>
        <v>2213154</v>
      </c>
      <c r="T94" s="62">
        <f t="shared" si="86"/>
        <v>230450000</v>
      </c>
      <c r="U94" s="62">
        <f t="shared" si="86"/>
        <v>118000000</v>
      </c>
      <c r="V94" s="62">
        <f t="shared" si="86"/>
        <v>80000000</v>
      </c>
      <c r="W94" s="62">
        <f t="shared" si="86"/>
        <v>1570638184</v>
      </c>
      <c r="X94" s="62">
        <f t="shared" si="86"/>
        <v>0</v>
      </c>
      <c r="Y94" s="62">
        <f t="shared" si="86"/>
        <v>0</v>
      </c>
      <c r="Z94" s="62">
        <f t="shared" si="86"/>
        <v>0</v>
      </c>
      <c r="AA94" s="62">
        <f t="shared" si="86"/>
        <v>109220075</v>
      </c>
      <c r="AB94" s="44">
        <f t="shared" si="63"/>
        <v>0.94883593306224934</v>
      </c>
      <c r="AC94" s="62">
        <f t="shared" ref="AC94:AW94" si="87">SUM(AC80:AC93)</f>
        <v>3016197459</v>
      </c>
      <c r="AD94" s="62">
        <f t="shared" si="87"/>
        <v>261659011</v>
      </c>
      <c r="AE94" s="62">
        <f t="shared" si="87"/>
        <v>713620873</v>
      </c>
      <c r="AF94" s="62">
        <f t="shared" si="87"/>
        <v>50000000</v>
      </c>
      <c r="AG94" s="62">
        <f t="shared" si="87"/>
        <v>18090667</v>
      </c>
      <c r="AH94" s="62">
        <f t="shared" si="87"/>
        <v>0</v>
      </c>
      <c r="AI94" s="62">
        <f t="shared" si="87"/>
        <v>0</v>
      </c>
      <c r="AJ94" s="62">
        <f t="shared" si="87"/>
        <v>0</v>
      </c>
      <c r="AK94" s="62">
        <f t="shared" si="87"/>
        <v>0</v>
      </c>
      <c r="AL94" s="62">
        <f t="shared" si="87"/>
        <v>0</v>
      </c>
      <c r="AM94" s="62">
        <f t="shared" si="87"/>
        <v>0</v>
      </c>
      <c r="AN94" s="62">
        <f t="shared" si="87"/>
        <v>0</v>
      </c>
      <c r="AO94" s="62">
        <f t="shared" si="87"/>
        <v>0</v>
      </c>
      <c r="AP94" s="62">
        <f t="shared" si="87"/>
        <v>175958012</v>
      </c>
      <c r="AQ94" s="62">
        <f t="shared" si="87"/>
        <v>118000000</v>
      </c>
      <c r="AR94" s="62">
        <f t="shared" si="87"/>
        <v>80000000</v>
      </c>
      <c r="AS94" s="62">
        <f t="shared" si="87"/>
        <v>1539781663</v>
      </c>
      <c r="AT94" s="62">
        <f t="shared" si="87"/>
        <v>0</v>
      </c>
      <c r="AU94" s="62">
        <f t="shared" si="87"/>
        <v>0</v>
      </c>
      <c r="AV94" s="62">
        <f t="shared" si="87"/>
        <v>0</v>
      </c>
      <c r="AW94" s="62">
        <f t="shared" si="87"/>
        <v>59087233</v>
      </c>
      <c r="AX94" s="44">
        <f t="shared" si="64"/>
        <v>5.1164066937750663E-2</v>
      </c>
      <c r="AY94" s="62">
        <f t="shared" ref="AY94:BS94" si="88">SUM(AY80:AY93)</f>
        <v>162642374</v>
      </c>
      <c r="AZ94" s="62">
        <f t="shared" si="88"/>
        <v>16080898</v>
      </c>
      <c r="BA94" s="62">
        <f t="shared" si="88"/>
        <v>379127</v>
      </c>
      <c r="BB94" s="62">
        <f t="shared" si="88"/>
        <v>0</v>
      </c>
      <c r="BC94" s="62">
        <f t="shared" si="88"/>
        <v>8487844</v>
      </c>
      <c r="BD94" s="62">
        <f t="shared" si="88"/>
        <v>0</v>
      </c>
      <c r="BE94" s="62">
        <f t="shared" si="88"/>
        <v>0</v>
      </c>
      <c r="BF94" s="62">
        <f t="shared" si="88"/>
        <v>0</v>
      </c>
      <c r="BG94" s="62">
        <f t="shared" si="88"/>
        <v>0</v>
      </c>
      <c r="BH94" s="62">
        <f t="shared" si="88"/>
        <v>0</v>
      </c>
      <c r="BI94" s="62">
        <f t="shared" si="88"/>
        <v>0</v>
      </c>
      <c r="BJ94" s="62">
        <f t="shared" si="88"/>
        <v>0</v>
      </c>
      <c r="BK94" s="62">
        <f t="shared" si="88"/>
        <v>2213154</v>
      </c>
      <c r="BL94" s="62">
        <f t="shared" si="88"/>
        <v>54491988</v>
      </c>
      <c r="BM94" s="62">
        <f t="shared" si="88"/>
        <v>0</v>
      </c>
      <c r="BN94" s="62">
        <f t="shared" si="88"/>
        <v>0</v>
      </c>
      <c r="BO94" s="62">
        <f t="shared" si="88"/>
        <v>30856521</v>
      </c>
      <c r="BP94" s="62">
        <f t="shared" si="88"/>
        <v>0</v>
      </c>
      <c r="BQ94" s="62">
        <f t="shared" si="88"/>
        <v>0</v>
      </c>
      <c r="BR94" s="62">
        <f t="shared" si="88"/>
        <v>0</v>
      </c>
      <c r="BS94" s="62">
        <f t="shared" si="88"/>
        <v>50132842</v>
      </c>
      <c r="BT94" s="44">
        <f t="shared" si="66"/>
        <v>0.89375412076636074</v>
      </c>
      <c r="BU94" s="62">
        <f t="shared" ref="BU94:CO94" si="89">SUM(BU80:BU93)</f>
        <v>2841101200</v>
      </c>
      <c r="BV94" s="62">
        <f t="shared" si="89"/>
        <v>236554614</v>
      </c>
      <c r="BW94" s="62">
        <f t="shared" si="89"/>
        <v>711139881</v>
      </c>
      <c r="BX94" s="62">
        <f t="shared" si="89"/>
        <v>37223653</v>
      </c>
      <c r="BY94" s="62">
        <f t="shared" si="89"/>
        <v>18090667</v>
      </c>
      <c r="BZ94" s="62">
        <f t="shared" si="89"/>
        <v>0</v>
      </c>
      <c r="CA94" s="62">
        <f t="shared" si="89"/>
        <v>0</v>
      </c>
      <c r="CB94" s="62">
        <f t="shared" si="89"/>
        <v>0</v>
      </c>
      <c r="CC94" s="62">
        <f t="shared" si="89"/>
        <v>0</v>
      </c>
      <c r="CD94" s="62">
        <f t="shared" si="89"/>
        <v>0</v>
      </c>
      <c r="CE94" s="62">
        <f t="shared" si="89"/>
        <v>0</v>
      </c>
      <c r="CF94" s="62">
        <f t="shared" si="89"/>
        <v>0</v>
      </c>
      <c r="CG94" s="62">
        <f t="shared" si="89"/>
        <v>0</v>
      </c>
      <c r="CH94" s="62">
        <f t="shared" si="89"/>
        <v>171014753</v>
      </c>
      <c r="CI94" s="62">
        <f t="shared" si="89"/>
        <v>70634317</v>
      </c>
      <c r="CJ94" s="62">
        <f t="shared" si="89"/>
        <v>3000000</v>
      </c>
      <c r="CK94" s="62">
        <f t="shared" si="89"/>
        <v>1539700812</v>
      </c>
      <c r="CL94" s="62">
        <f t="shared" si="89"/>
        <v>0</v>
      </c>
      <c r="CM94" s="62">
        <f t="shared" si="89"/>
        <v>0</v>
      </c>
      <c r="CN94" s="62">
        <f t="shared" si="89"/>
        <v>0</v>
      </c>
      <c r="CO94" s="62">
        <f t="shared" si="89"/>
        <v>53742503</v>
      </c>
      <c r="CP94" s="44">
        <f t="shared" si="58"/>
        <v>0.10624587923363926</v>
      </c>
      <c r="CQ94" s="62">
        <f t="shared" ref="CQ94:DK94" si="90">SUM(CQ80:CQ93)</f>
        <v>337738633</v>
      </c>
      <c r="CR94" s="62">
        <f t="shared" si="90"/>
        <v>41185295</v>
      </c>
      <c r="CS94" s="62">
        <f t="shared" si="90"/>
        <v>2860119</v>
      </c>
      <c r="CT94" s="62">
        <f t="shared" si="90"/>
        <v>12776347</v>
      </c>
      <c r="CU94" s="62">
        <f t="shared" si="90"/>
        <v>8487844</v>
      </c>
      <c r="CV94" s="62">
        <f t="shared" si="90"/>
        <v>0</v>
      </c>
      <c r="CW94" s="62">
        <f t="shared" si="90"/>
        <v>0</v>
      </c>
      <c r="CX94" s="62">
        <f t="shared" si="90"/>
        <v>0</v>
      </c>
      <c r="CY94" s="62">
        <f t="shared" si="90"/>
        <v>0</v>
      </c>
      <c r="CZ94" s="62">
        <f t="shared" si="90"/>
        <v>0</v>
      </c>
      <c r="DA94" s="62">
        <f t="shared" si="90"/>
        <v>0</v>
      </c>
      <c r="DB94" s="62">
        <f t="shared" si="90"/>
        <v>0</v>
      </c>
      <c r="DC94" s="62">
        <f t="shared" si="90"/>
        <v>2213154</v>
      </c>
      <c r="DD94" s="62">
        <f t="shared" si="90"/>
        <v>59435247</v>
      </c>
      <c r="DE94" s="62">
        <f t="shared" si="90"/>
        <v>47365683</v>
      </c>
      <c r="DF94" s="62">
        <f t="shared" si="90"/>
        <v>77000000</v>
      </c>
      <c r="DG94" s="62">
        <f t="shared" si="90"/>
        <v>30937372</v>
      </c>
      <c r="DH94" s="62">
        <f t="shared" si="90"/>
        <v>0</v>
      </c>
      <c r="DI94" s="62">
        <f t="shared" si="90"/>
        <v>0</v>
      </c>
      <c r="DJ94" s="62">
        <f t="shared" si="90"/>
        <v>0</v>
      </c>
      <c r="DK94" s="62">
        <f t="shared" si="90"/>
        <v>55477572</v>
      </c>
      <c r="DM94" s="26">
        <f t="shared" si="83"/>
        <v>3178839833</v>
      </c>
      <c r="DN94" s="26">
        <f t="shared" si="84"/>
        <v>3178839833</v>
      </c>
      <c r="DO94" s="26">
        <f t="shared" si="85"/>
        <v>3178839833</v>
      </c>
    </row>
    <row r="95" spans="1:119" ht="48.75" customHeight="1" thickTop="1" x14ac:dyDescent="0.25">
      <c r="A95" s="207" t="s">
        <v>292</v>
      </c>
      <c r="B95" s="208" t="s">
        <v>293</v>
      </c>
      <c r="C95" s="53" t="s">
        <v>294</v>
      </c>
      <c r="D95" s="19" t="s">
        <v>295</v>
      </c>
      <c r="E95" s="83">
        <v>510</v>
      </c>
      <c r="F95" s="21" t="s">
        <v>296</v>
      </c>
      <c r="G95" s="22">
        <f t="shared" ref="G95:G113" si="91">SUM(H95:AA95)</f>
        <v>1500000</v>
      </c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71"/>
      <c r="S95" s="22"/>
      <c r="T95" s="22"/>
      <c r="U95" s="22"/>
      <c r="V95" s="22"/>
      <c r="W95" s="22"/>
      <c r="X95" s="22"/>
      <c r="Y95" s="22"/>
      <c r="Z95" s="22"/>
      <c r="AA95" s="22">
        <v>1500000</v>
      </c>
      <c r="AB95" s="23">
        <f t="shared" si="63"/>
        <v>0</v>
      </c>
      <c r="AC95" s="22">
        <f t="shared" ref="AC95:AC113" si="92">SUM(AD95:AW95)</f>
        <v>0</v>
      </c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3">
        <f t="shared" si="64"/>
        <v>1</v>
      </c>
      <c r="AY95" s="22">
        <f t="shared" ref="AY95:AY113" si="93">SUM(AZ95:BS95)</f>
        <v>1500000</v>
      </c>
      <c r="AZ95" s="22">
        <f t="shared" ref="AZ95:BO112" si="94">H95-AD95</f>
        <v>0</v>
      </c>
      <c r="BA95" s="22">
        <f t="shared" si="94"/>
        <v>0</v>
      </c>
      <c r="BB95" s="22">
        <f t="shared" si="94"/>
        <v>0</v>
      </c>
      <c r="BC95" s="22">
        <f t="shared" si="94"/>
        <v>0</v>
      </c>
      <c r="BD95" s="22">
        <f t="shared" si="94"/>
        <v>0</v>
      </c>
      <c r="BE95" s="22">
        <f t="shared" si="94"/>
        <v>0</v>
      </c>
      <c r="BF95" s="22">
        <f t="shared" si="94"/>
        <v>0</v>
      </c>
      <c r="BG95" s="22">
        <f t="shared" si="94"/>
        <v>0</v>
      </c>
      <c r="BH95" s="22">
        <f t="shared" si="94"/>
        <v>0</v>
      </c>
      <c r="BI95" s="22">
        <f t="shared" si="94"/>
        <v>0</v>
      </c>
      <c r="BJ95" s="22">
        <f t="shared" si="94"/>
        <v>0</v>
      </c>
      <c r="BK95" s="22">
        <f t="shared" si="94"/>
        <v>0</v>
      </c>
      <c r="BL95" s="22">
        <f t="shared" si="94"/>
        <v>0</v>
      </c>
      <c r="BM95" s="22">
        <f t="shared" si="94"/>
        <v>0</v>
      </c>
      <c r="BN95" s="22">
        <f t="shared" si="94"/>
        <v>0</v>
      </c>
      <c r="BO95" s="22">
        <f t="shared" si="94"/>
        <v>0</v>
      </c>
      <c r="BP95" s="22">
        <f t="shared" ref="BO95:BS113" si="95">X95-AT95</f>
        <v>0</v>
      </c>
      <c r="BQ95" s="22">
        <f t="shared" si="95"/>
        <v>0</v>
      </c>
      <c r="BR95" s="22">
        <f t="shared" si="95"/>
        <v>0</v>
      </c>
      <c r="BS95" s="22">
        <f t="shared" si="95"/>
        <v>1500000</v>
      </c>
      <c r="BT95" s="23">
        <f t="shared" si="66"/>
        <v>0</v>
      </c>
      <c r="BU95" s="22">
        <f t="shared" ref="BU95:BU113" si="96">SUM(BV95:CO95)</f>
        <v>0</v>
      </c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3">
        <f t="shared" si="58"/>
        <v>1</v>
      </c>
      <c r="CQ95" s="22">
        <f t="shared" ref="CQ95:CQ113" si="97">SUM(CR95:DK95)</f>
        <v>1500000</v>
      </c>
      <c r="CR95" s="22">
        <f>H95-BV95</f>
        <v>0</v>
      </c>
      <c r="CS95" s="22">
        <f t="shared" ref="CS95:DH112" si="98">I95-BW95</f>
        <v>0</v>
      </c>
      <c r="CT95" s="22">
        <f t="shared" si="98"/>
        <v>0</v>
      </c>
      <c r="CU95" s="22">
        <f t="shared" si="98"/>
        <v>0</v>
      </c>
      <c r="CV95" s="22">
        <f t="shared" si="98"/>
        <v>0</v>
      </c>
      <c r="CW95" s="22">
        <f t="shared" si="98"/>
        <v>0</v>
      </c>
      <c r="CX95" s="22">
        <f t="shared" si="98"/>
        <v>0</v>
      </c>
      <c r="CY95" s="22">
        <f t="shared" si="98"/>
        <v>0</v>
      </c>
      <c r="CZ95" s="22">
        <f t="shared" si="98"/>
        <v>0</v>
      </c>
      <c r="DA95" s="22">
        <f t="shared" si="98"/>
        <v>0</v>
      </c>
      <c r="DB95" s="22">
        <f>R95-CF95</f>
        <v>0</v>
      </c>
      <c r="DC95" s="22">
        <f t="shared" si="98"/>
        <v>0</v>
      </c>
      <c r="DD95" s="22">
        <f t="shared" si="98"/>
        <v>0</v>
      </c>
      <c r="DE95" s="22">
        <f t="shared" si="98"/>
        <v>0</v>
      </c>
      <c r="DF95" s="22">
        <f t="shared" si="98"/>
        <v>0</v>
      </c>
      <c r="DG95" s="22">
        <f t="shared" si="98"/>
        <v>0</v>
      </c>
      <c r="DH95" s="22">
        <f t="shared" si="98"/>
        <v>0</v>
      </c>
      <c r="DI95" s="22">
        <f t="shared" ref="DI95:DK113" si="99">Y95-CM95</f>
        <v>0</v>
      </c>
      <c r="DJ95" s="22">
        <f t="shared" si="99"/>
        <v>0</v>
      </c>
      <c r="DK95" s="22">
        <f t="shared" si="99"/>
        <v>1500000</v>
      </c>
      <c r="DM95" s="26">
        <f t="shared" si="83"/>
        <v>1500000</v>
      </c>
      <c r="DN95" s="26">
        <f t="shared" si="84"/>
        <v>1500000</v>
      </c>
      <c r="DO95" s="26">
        <f t="shared" si="85"/>
        <v>1500000</v>
      </c>
    </row>
    <row r="96" spans="1:119" ht="48" x14ac:dyDescent="0.25">
      <c r="A96" s="192"/>
      <c r="B96" s="201"/>
      <c r="C96" s="53" t="s">
        <v>297</v>
      </c>
      <c r="D96" s="19" t="s">
        <v>298</v>
      </c>
      <c r="E96" s="83">
        <v>510</v>
      </c>
      <c r="F96" s="21" t="s">
        <v>299</v>
      </c>
      <c r="G96" s="22">
        <f t="shared" si="91"/>
        <v>1000000</v>
      </c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71"/>
      <c r="S96" s="22"/>
      <c r="T96" s="22"/>
      <c r="U96" s="22"/>
      <c r="V96" s="22">
        <v>1000000</v>
      </c>
      <c r="W96" s="22"/>
      <c r="X96" s="22"/>
      <c r="Y96" s="22"/>
      <c r="Z96" s="22"/>
      <c r="AA96" s="22"/>
      <c r="AB96" s="23">
        <f t="shared" si="63"/>
        <v>0</v>
      </c>
      <c r="AC96" s="22">
        <f t="shared" si="92"/>
        <v>0</v>
      </c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3">
        <f t="shared" si="64"/>
        <v>1</v>
      </c>
      <c r="AY96" s="22">
        <f t="shared" si="93"/>
        <v>1000000</v>
      </c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>
        <f t="shared" si="94"/>
        <v>1000000</v>
      </c>
      <c r="BO96" s="22"/>
      <c r="BP96" s="22"/>
      <c r="BQ96" s="22"/>
      <c r="BR96" s="22"/>
      <c r="BS96" s="22"/>
      <c r="BT96" s="23">
        <f t="shared" si="66"/>
        <v>0</v>
      </c>
      <c r="BU96" s="22">
        <f t="shared" si="96"/>
        <v>0</v>
      </c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3">
        <f t="shared" si="58"/>
        <v>1</v>
      </c>
      <c r="CQ96" s="22">
        <f t="shared" si="97"/>
        <v>1000000</v>
      </c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>
        <f t="shared" si="98"/>
        <v>1000000</v>
      </c>
      <c r="DG96" s="22"/>
      <c r="DH96" s="22"/>
      <c r="DI96" s="22"/>
      <c r="DJ96" s="22"/>
      <c r="DK96" s="22"/>
      <c r="DM96" s="26">
        <f t="shared" si="83"/>
        <v>1000000</v>
      </c>
      <c r="DN96" s="26">
        <f t="shared" si="84"/>
        <v>1000000</v>
      </c>
      <c r="DO96" s="26">
        <f t="shared" si="85"/>
        <v>1000000</v>
      </c>
    </row>
    <row r="97" spans="1:119" ht="48.75" thickBot="1" x14ac:dyDescent="0.3">
      <c r="A97" s="192"/>
      <c r="B97" s="209"/>
      <c r="C97" s="53" t="s">
        <v>300</v>
      </c>
      <c r="D97" s="19" t="s">
        <v>301</v>
      </c>
      <c r="E97" s="83">
        <v>510</v>
      </c>
      <c r="F97" s="21" t="s">
        <v>299</v>
      </c>
      <c r="G97" s="22">
        <f t="shared" si="91"/>
        <v>2000000</v>
      </c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71"/>
      <c r="S97" s="22"/>
      <c r="T97" s="22"/>
      <c r="U97" s="22"/>
      <c r="V97" s="22">
        <v>2000000</v>
      </c>
      <c r="W97" s="22"/>
      <c r="X97" s="22"/>
      <c r="Y97" s="22"/>
      <c r="Z97" s="22"/>
      <c r="AA97" s="22"/>
      <c r="AB97" s="23">
        <f t="shared" si="63"/>
        <v>0</v>
      </c>
      <c r="AC97" s="22">
        <f t="shared" si="92"/>
        <v>0</v>
      </c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3">
        <f t="shared" si="64"/>
        <v>1</v>
      </c>
      <c r="AY97" s="22">
        <f t="shared" si="93"/>
        <v>2000000</v>
      </c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>
        <f t="shared" si="94"/>
        <v>2000000</v>
      </c>
      <c r="BO97" s="22"/>
      <c r="BP97" s="22"/>
      <c r="BQ97" s="22"/>
      <c r="BR97" s="22"/>
      <c r="BS97" s="22"/>
      <c r="BT97" s="23">
        <f t="shared" si="66"/>
        <v>0</v>
      </c>
      <c r="BU97" s="22">
        <f t="shared" si="96"/>
        <v>0</v>
      </c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3">
        <f t="shared" si="58"/>
        <v>1</v>
      </c>
      <c r="CQ97" s="22">
        <f t="shared" si="97"/>
        <v>2000000</v>
      </c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>
        <f t="shared" si="98"/>
        <v>2000000</v>
      </c>
      <c r="DG97" s="22"/>
      <c r="DH97" s="22"/>
      <c r="DI97" s="22"/>
      <c r="DJ97" s="22"/>
      <c r="DK97" s="22"/>
      <c r="DM97" s="26">
        <f t="shared" si="83"/>
        <v>2000000</v>
      </c>
      <c r="DN97" s="26">
        <f t="shared" si="84"/>
        <v>2000000</v>
      </c>
      <c r="DO97" s="26">
        <f t="shared" si="85"/>
        <v>2000000</v>
      </c>
    </row>
    <row r="98" spans="1:119" ht="24.75" thickTop="1" x14ac:dyDescent="0.25">
      <c r="A98" s="192"/>
      <c r="B98" s="208" t="s">
        <v>302</v>
      </c>
      <c r="C98" s="53" t="s">
        <v>303</v>
      </c>
      <c r="D98" s="19" t="s">
        <v>304</v>
      </c>
      <c r="E98" s="83">
        <v>111</v>
      </c>
      <c r="F98" s="21" t="s">
        <v>305</v>
      </c>
      <c r="G98" s="22">
        <f t="shared" si="91"/>
        <v>575338316</v>
      </c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>
        <f>250000000</f>
        <v>250000000</v>
      </c>
      <c r="V98" s="22"/>
      <c r="W98" s="22"/>
      <c r="X98" s="22"/>
      <c r="Y98" s="22"/>
      <c r="Z98" s="22"/>
      <c r="AA98" s="22">
        <f>1028515825+153485735-227543349+20880105-250000000-400000000</f>
        <v>325338316</v>
      </c>
      <c r="AB98" s="23">
        <f t="shared" si="63"/>
        <v>0.43452694362181155</v>
      </c>
      <c r="AC98" s="22">
        <f t="shared" ref="AC98" si="100">SUM(AD98:AW98)</f>
        <v>250000000</v>
      </c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>
        <f>+'[6]JULIO 2017'!$W$18</f>
        <v>250000000</v>
      </c>
      <c r="AR98" s="22"/>
      <c r="AS98" s="22"/>
      <c r="AT98" s="22"/>
      <c r="AU98" s="22"/>
      <c r="AV98" s="22"/>
      <c r="AW98" s="22"/>
      <c r="AX98" s="23">
        <f t="shared" si="64"/>
        <v>0.56547305637818845</v>
      </c>
      <c r="AY98" s="22">
        <f t="shared" si="93"/>
        <v>325338316</v>
      </c>
      <c r="AZ98" s="22">
        <f t="shared" si="94"/>
        <v>0</v>
      </c>
      <c r="BA98" s="22">
        <f t="shared" si="94"/>
        <v>0</v>
      </c>
      <c r="BB98" s="22">
        <f t="shared" si="94"/>
        <v>0</v>
      </c>
      <c r="BC98" s="22">
        <f t="shared" si="94"/>
        <v>0</v>
      </c>
      <c r="BD98" s="22">
        <f t="shared" si="94"/>
        <v>0</v>
      </c>
      <c r="BE98" s="22">
        <f t="shared" si="94"/>
        <v>0</v>
      </c>
      <c r="BF98" s="22">
        <f t="shared" si="94"/>
        <v>0</v>
      </c>
      <c r="BG98" s="22">
        <f t="shared" si="94"/>
        <v>0</v>
      </c>
      <c r="BH98" s="22">
        <f t="shared" si="94"/>
        <v>0</v>
      </c>
      <c r="BI98" s="22">
        <f t="shared" si="94"/>
        <v>0</v>
      </c>
      <c r="BJ98" s="22">
        <f t="shared" si="94"/>
        <v>0</v>
      </c>
      <c r="BK98" s="22">
        <f t="shared" si="94"/>
        <v>0</v>
      </c>
      <c r="BL98" s="22">
        <f t="shared" si="94"/>
        <v>0</v>
      </c>
      <c r="BM98" s="22">
        <f t="shared" si="94"/>
        <v>0</v>
      </c>
      <c r="BN98" s="22">
        <f t="shared" si="94"/>
        <v>0</v>
      </c>
      <c r="BO98" s="22">
        <f t="shared" si="94"/>
        <v>0</v>
      </c>
      <c r="BP98" s="22">
        <f t="shared" si="95"/>
        <v>0</v>
      </c>
      <c r="BQ98" s="22">
        <f t="shared" si="95"/>
        <v>0</v>
      </c>
      <c r="BR98" s="22">
        <f t="shared" si="95"/>
        <v>0</v>
      </c>
      <c r="BS98" s="22">
        <f t="shared" si="95"/>
        <v>325338316</v>
      </c>
      <c r="BT98" s="23">
        <f t="shared" si="66"/>
        <v>0.24677328808394539</v>
      </c>
      <c r="BU98" s="22">
        <f t="shared" si="96"/>
        <v>141978128</v>
      </c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>
        <f>+'[5]AGOSTO 2017'!$H$19</f>
        <v>141978128</v>
      </c>
      <c r="CJ98" s="22"/>
      <c r="CK98" s="22"/>
      <c r="CL98" s="22"/>
      <c r="CM98" s="22"/>
      <c r="CN98" s="22"/>
      <c r="CO98" s="22"/>
      <c r="CP98" s="23">
        <f t="shared" si="58"/>
        <v>0.75322671191605461</v>
      </c>
      <c r="CQ98" s="22">
        <f t="shared" si="97"/>
        <v>433360188</v>
      </c>
      <c r="CR98" s="22">
        <f>H98-BV98</f>
        <v>0</v>
      </c>
      <c r="CS98" s="22">
        <f t="shared" si="98"/>
        <v>0</v>
      </c>
      <c r="CT98" s="22">
        <f t="shared" si="98"/>
        <v>0</v>
      </c>
      <c r="CU98" s="22">
        <f t="shared" si="98"/>
        <v>0</v>
      </c>
      <c r="CV98" s="22">
        <f t="shared" si="98"/>
        <v>0</v>
      </c>
      <c r="CW98" s="22">
        <f t="shared" si="98"/>
        <v>0</v>
      </c>
      <c r="CX98" s="22">
        <f t="shared" si="98"/>
        <v>0</v>
      </c>
      <c r="CY98" s="22">
        <f t="shared" si="98"/>
        <v>0</v>
      </c>
      <c r="CZ98" s="22">
        <f t="shared" si="98"/>
        <v>0</v>
      </c>
      <c r="DA98" s="22">
        <f t="shared" si="98"/>
        <v>0</v>
      </c>
      <c r="DB98" s="22">
        <f t="shared" si="98"/>
        <v>0</v>
      </c>
      <c r="DC98" s="22">
        <f t="shared" si="98"/>
        <v>0</v>
      </c>
      <c r="DD98" s="22">
        <f t="shared" si="98"/>
        <v>0</v>
      </c>
      <c r="DE98" s="22">
        <f t="shared" si="98"/>
        <v>108021872</v>
      </c>
      <c r="DF98" s="22">
        <f t="shared" si="98"/>
        <v>0</v>
      </c>
      <c r="DG98" s="22">
        <f t="shared" si="98"/>
        <v>0</v>
      </c>
      <c r="DH98" s="22">
        <f t="shared" si="98"/>
        <v>0</v>
      </c>
      <c r="DI98" s="22">
        <f t="shared" si="99"/>
        <v>0</v>
      </c>
      <c r="DJ98" s="22">
        <f t="shared" si="99"/>
        <v>0</v>
      </c>
      <c r="DK98" s="22">
        <f t="shared" si="99"/>
        <v>325338316</v>
      </c>
      <c r="DM98" s="26">
        <f t="shared" si="83"/>
        <v>575338316</v>
      </c>
      <c r="DN98" s="26">
        <f t="shared" si="84"/>
        <v>575338316</v>
      </c>
      <c r="DO98" s="26">
        <f t="shared" si="85"/>
        <v>575338316</v>
      </c>
    </row>
    <row r="99" spans="1:119" s="73" customFormat="1" ht="78" customHeight="1" x14ac:dyDescent="0.25">
      <c r="A99" s="192"/>
      <c r="B99" s="202"/>
      <c r="C99" s="84" t="s">
        <v>306</v>
      </c>
      <c r="D99" s="19" t="s">
        <v>307</v>
      </c>
      <c r="E99" s="82">
        <v>111</v>
      </c>
      <c r="F99" s="21" t="s">
        <v>308</v>
      </c>
      <c r="G99" s="22">
        <f t="shared" si="91"/>
        <v>1683063108</v>
      </c>
      <c r="H99" s="22">
        <v>181434097</v>
      </c>
      <c r="I99" s="22"/>
      <c r="J99" s="22">
        <v>100000000</v>
      </c>
      <c r="K99" s="22">
        <v>665649946</v>
      </c>
      <c r="L99" s="22"/>
      <c r="M99" s="22"/>
      <c r="N99" s="22">
        <v>12004716</v>
      </c>
      <c r="O99" s="22">
        <v>6840985</v>
      </c>
      <c r="P99" s="22">
        <v>30665828</v>
      </c>
      <c r="Q99" s="22"/>
      <c r="R99" s="22"/>
      <c r="S99" s="22"/>
      <c r="T99" s="22">
        <v>100000000</v>
      </c>
      <c r="U99" s="22">
        <v>82000000</v>
      </c>
      <c r="V99" s="22">
        <f>100000000+100000000</f>
        <v>200000000</v>
      </c>
      <c r="W99" s="22"/>
      <c r="X99" s="22"/>
      <c r="Y99" s="22"/>
      <c r="Z99" s="22"/>
      <c r="AA99" s="22">
        <f>31441728+4000000+3000000+227543349+8000000+30482459</f>
        <v>304467536</v>
      </c>
      <c r="AB99" s="72">
        <f t="shared" si="63"/>
        <v>0.89686340923587049</v>
      </c>
      <c r="AC99" s="22">
        <f t="shared" si="92"/>
        <v>1509477717</v>
      </c>
      <c r="AD99" s="71">
        <f>+'[5]AGOSTO 2017'!$J$25</f>
        <v>181434097</v>
      </c>
      <c r="AE99" s="71"/>
      <c r="AF99" s="22">
        <f>+'[5]AGOSTO 2017'!$L$25-AG99</f>
        <v>35881866</v>
      </c>
      <c r="AG99" s="22">
        <f>+'[5]AGOSTO 2017'!$H$26+'[5]AGOSTO 2017'!$H$34+'[5]AGOSTO 2017'!$G$68</f>
        <v>626897592</v>
      </c>
      <c r="AH99" s="71"/>
      <c r="AI99" s="71"/>
      <c r="AJ99" s="71">
        <f>+'[3]JUNIO 2017'!$O$23</f>
        <v>12004716</v>
      </c>
      <c r="AK99" s="71">
        <f>+'[3]JUNIO 2017'!$P$23</f>
        <v>6840985</v>
      </c>
      <c r="AL99" s="71">
        <f>+'[3]JUNIO 2017'!$Q$23</f>
        <v>30665828</v>
      </c>
      <c r="AM99" s="71"/>
      <c r="AN99" s="71"/>
      <c r="AO99" s="71"/>
      <c r="AP99" s="71">
        <f>+'[3]JUNIO 2017'!$V$23</f>
        <v>100000000</v>
      </c>
      <c r="AQ99" s="71">
        <f>+'[5]AGOSTO 2017'!$W$25</f>
        <v>40000000</v>
      </c>
      <c r="AR99" s="71">
        <f>+'[5]AGOSTO 2017'!$X$25</f>
        <v>189069282</v>
      </c>
      <c r="AS99" s="71"/>
      <c r="AT99" s="71"/>
      <c r="AU99" s="71"/>
      <c r="AV99" s="71"/>
      <c r="AW99" s="71">
        <f>+'[5]AGOSTO 2017'!$AC$25</f>
        <v>286683351</v>
      </c>
      <c r="AX99" s="72">
        <f t="shared" si="64"/>
        <v>0.10313659076412951</v>
      </c>
      <c r="AY99" s="22">
        <f t="shared" si="93"/>
        <v>173585391</v>
      </c>
      <c r="AZ99" s="22">
        <f t="shared" si="94"/>
        <v>0</v>
      </c>
      <c r="BA99" s="22">
        <f t="shared" si="94"/>
        <v>0</v>
      </c>
      <c r="BB99" s="22">
        <f t="shared" si="94"/>
        <v>64118134</v>
      </c>
      <c r="BC99" s="22">
        <f t="shared" si="94"/>
        <v>38752354</v>
      </c>
      <c r="BD99" s="22">
        <f t="shared" si="94"/>
        <v>0</v>
      </c>
      <c r="BE99" s="22">
        <f t="shared" si="94"/>
        <v>0</v>
      </c>
      <c r="BF99" s="22">
        <f t="shared" si="94"/>
        <v>0</v>
      </c>
      <c r="BG99" s="22">
        <f t="shared" si="94"/>
        <v>0</v>
      </c>
      <c r="BH99" s="22">
        <f t="shared" si="94"/>
        <v>0</v>
      </c>
      <c r="BI99" s="22">
        <f t="shared" si="94"/>
        <v>0</v>
      </c>
      <c r="BJ99" s="22">
        <f t="shared" si="94"/>
        <v>0</v>
      </c>
      <c r="BK99" s="22">
        <f t="shared" si="94"/>
        <v>0</v>
      </c>
      <c r="BL99" s="22">
        <f t="shared" si="94"/>
        <v>0</v>
      </c>
      <c r="BM99" s="22">
        <f t="shared" si="94"/>
        <v>42000000</v>
      </c>
      <c r="BN99" s="22">
        <f t="shared" si="94"/>
        <v>10930718</v>
      </c>
      <c r="BO99" s="22">
        <f t="shared" si="94"/>
        <v>0</v>
      </c>
      <c r="BP99" s="22">
        <f t="shared" si="95"/>
        <v>0</v>
      </c>
      <c r="BQ99" s="22">
        <f t="shared" si="95"/>
        <v>0</v>
      </c>
      <c r="BR99" s="22">
        <f t="shared" si="95"/>
        <v>0</v>
      </c>
      <c r="BS99" s="22">
        <f t="shared" si="95"/>
        <v>17784185</v>
      </c>
      <c r="BT99" s="72">
        <f t="shared" si="66"/>
        <v>0.42777465775216789</v>
      </c>
      <c r="BU99" s="22">
        <f t="shared" si="96"/>
        <v>719971745</v>
      </c>
      <c r="BV99" s="71"/>
      <c r="BW99" s="71"/>
      <c r="BX99" s="71">
        <f>+'[5]AGOSTO 2017'!$H$32+'[5]AGOSTO 2017'!$H$56+'[5]AGOSTO 2017'!$H$69</f>
        <v>23731866</v>
      </c>
      <c r="BY99" s="71">
        <f>+'[5]AGOSTO 2017'!$H$26+'[5]AGOSTO 2017'!$H$34</f>
        <v>74160140</v>
      </c>
      <c r="BZ99" s="71"/>
      <c r="CA99" s="71"/>
      <c r="CB99" s="71">
        <f>+'[6]JULIO 2017'!$H$56</f>
        <v>12004716</v>
      </c>
      <c r="CC99" s="71">
        <f>+'[6]JULIO 2017'!$H$57</f>
        <v>6840985</v>
      </c>
      <c r="CD99" s="71">
        <f>+'[6]JULIO 2017'!$H$59</f>
        <v>30665828</v>
      </c>
      <c r="CE99" s="71"/>
      <c r="CF99" s="71"/>
      <c r="CG99" s="71"/>
      <c r="CH99" s="71">
        <f>+'[5]AGOSTO 2017'!$H$43+'[5]AGOSTO 2017'!$H$45+'[5]AGOSTO 2017'!$H$64</f>
        <v>100000000</v>
      </c>
      <c r="CI99" s="71"/>
      <c r="CJ99" s="71">
        <f>+'[5]AGOSTO 2017'!$H$28+'[5]AGOSTO 2017'!$H$30+'[5]AGOSTO 2017'!$H$66+'[5]AGOSTO 2017'!$H$71+'[5]AGOSTO 2017'!$H$73</f>
        <v>189069282</v>
      </c>
      <c r="CK99" s="71"/>
      <c r="CL99" s="71"/>
      <c r="CM99" s="71"/>
      <c r="CN99" s="71"/>
      <c r="CO99" s="71">
        <f>+'[5]AGOSTO 2017'!$H$36+'[5]AGOSTO 2017'!$H$38+'[5]AGOSTO 2017'!$H$40+'[5]AGOSTO 2017'!$H$47+'[5]AGOSTO 2017'!$H$49+'[5]AGOSTO 2017'!$H$51+'[5]AGOSTO 2017'!$H$75+'[5]AGOSTO 2017'!$H$78+'[5]AGOSTO 2017'!$H$80+'[5]AGOSTO 2017'!$H$82+'[5]AGOSTO 2017'!$H$86</f>
        <v>283498928</v>
      </c>
      <c r="CP99" s="72">
        <f t="shared" si="58"/>
        <v>0.57222534224783206</v>
      </c>
      <c r="CQ99" s="22">
        <f t="shared" si="97"/>
        <v>963091363</v>
      </c>
      <c r="CR99" s="22">
        <f t="shared" ref="CR99:CR113" si="101">H99-BV99</f>
        <v>181434097</v>
      </c>
      <c r="CS99" s="22">
        <f t="shared" si="98"/>
        <v>0</v>
      </c>
      <c r="CT99" s="22">
        <f t="shared" si="98"/>
        <v>76268134</v>
      </c>
      <c r="CU99" s="22">
        <f t="shared" si="98"/>
        <v>591489806</v>
      </c>
      <c r="CV99" s="22">
        <f t="shared" si="98"/>
        <v>0</v>
      </c>
      <c r="CW99" s="22">
        <f t="shared" si="98"/>
        <v>0</v>
      </c>
      <c r="CX99" s="22">
        <f t="shared" si="98"/>
        <v>0</v>
      </c>
      <c r="CY99" s="22">
        <f t="shared" si="98"/>
        <v>0</v>
      </c>
      <c r="CZ99" s="22">
        <f t="shared" si="98"/>
        <v>0</v>
      </c>
      <c r="DA99" s="22">
        <f t="shared" si="98"/>
        <v>0</v>
      </c>
      <c r="DB99" s="22">
        <f t="shared" si="98"/>
        <v>0</v>
      </c>
      <c r="DC99" s="22">
        <f t="shared" si="98"/>
        <v>0</v>
      </c>
      <c r="DD99" s="22">
        <f t="shared" si="98"/>
        <v>0</v>
      </c>
      <c r="DE99" s="22">
        <f t="shared" si="98"/>
        <v>82000000</v>
      </c>
      <c r="DF99" s="22">
        <f t="shared" si="98"/>
        <v>10930718</v>
      </c>
      <c r="DG99" s="22">
        <f t="shared" si="98"/>
        <v>0</v>
      </c>
      <c r="DH99" s="22">
        <f t="shared" si="98"/>
        <v>0</v>
      </c>
      <c r="DI99" s="22">
        <f t="shared" si="99"/>
        <v>0</v>
      </c>
      <c r="DJ99" s="22">
        <f t="shared" si="99"/>
        <v>0</v>
      </c>
      <c r="DK99" s="22">
        <f t="shared" si="99"/>
        <v>20968608</v>
      </c>
      <c r="DM99" s="26">
        <f t="shared" si="83"/>
        <v>1683063108</v>
      </c>
      <c r="DN99" s="26">
        <f t="shared" si="84"/>
        <v>1683063108</v>
      </c>
      <c r="DO99" s="26">
        <f t="shared" si="85"/>
        <v>1683063108</v>
      </c>
    </row>
    <row r="100" spans="1:119" ht="30" x14ac:dyDescent="0.25">
      <c r="A100" s="192"/>
      <c r="B100" s="191" t="s">
        <v>309</v>
      </c>
      <c r="C100" s="53" t="s">
        <v>310</v>
      </c>
      <c r="D100" s="19" t="s">
        <v>311</v>
      </c>
      <c r="E100" s="83">
        <v>211</v>
      </c>
      <c r="F100" s="21" t="s">
        <v>312</v>
      </c>
      <c r="G100" s="22">
        <f t="shared" si="91"/>
        <v>1625954405</v>
      </c>
      <c r="H100" s="22"/>
      <c r="I100" s="22"/>
      <c r="J100" s="22">
        <f>300000000+94648167</f>
        <v>394648167</v>
      </c>
      <c r="K100" s="22">
        <v>815752314</v>
      </c>
      <c r="L100" s="22">
        <v>80883013</v>
      </c>
      <c r="M100" s="22"/>
      <c r="N100" s="22"/>
      <c r="O100" s="22"/>
      <c r="P100" s="22"/>
      <c r="Q100" s="22">
        <v>1940856</v>
      </c>
      <c r="R100" s="22">
        <v>135153822</v>
      </c>
      <c r="S100" s="22"/>
      <c r="T100" s="22"/>
      <c r="U100" s="22">
        <v>20224400</v>
      </c>
      <c r="V100" s="22">
        <f>175000000-94648167</f>
        <v>80351833</v>
      </c>
      <c r="W100" s="22"/>
      <c r="X100" s="22"/>
      <c r="Y100" s="22"/>
      <c r="Z100" s="22"/>
      <c r="AA100" s="22">
        <f>14000000+43000000+40000000</f>
        <v>97000000</v>
      </c>
      <c r="AB100" s="23">
        <f t="shared" si="63"/>
        <v>0.81359849447930865</v>
      </c>
      <c r="AC100" s="22">
        <f t="shared" si="92"/>
        <v>1322874056</v>
      </c>
      <c r="AD100" s="22"/>
      <c r="AE100" s="22"/>
      <c r="AF100" s="22">
        <f>+'[5]AGOSTO 2017'!$L$101-AG100</f>
        <v>216860507</v>
      </c>
      <c r="AG100" s="22">
        <v>815752314</v>
      </c>
      <c r="AH100" s="22">
        <f>+'[6]JULIO 2017'!$M$83</f>
        <v>80883013</v>
      </c>
      <c r="AI100" s="22"/>
      <c r="AJ100" s="22"/>
      <c r="AK100" s="22"/>
      <c r="AL100" s="22"/>
      <c r="AM100" s="22"/>
      <c r="AN100" s="22">
        <f>+'[6]JULIO 2017'!$T$83</f>
        <v>135153822</v>
      </c>
      <c r="AO100" s="22"/>
      <c r="AP100" s="22"/>
      <c r="AQ100" s="22">
        <f>+'[5]AGOSTO 2017'!$W$101</f>
        <v>20224400</v>
      </c>
      <c r="AR100" s="22"/>
      <c r="AS100" s="22"/>
      <c r="AT100" s="22"/>
      <c r="AU100" s="22"/>
      <c r="AV100" s="22"/>
      <c r="AW100" s="22">
        <f>+'[5]AGOSTO 2017'!$AC$101</f>
        <v>54000000</v>
      </c>
      <c r="AX100" s="23">
        <f t="shared" si="64"/>
        <v>0.18640150552069135</v>
      </c>
      <c r="AY100" s="22">
        <f t="shared" si="93"/>
        <v>303080349</v>
      </c>
      <c r="AZ100" s="22">
        <f t="shared" si="94"/>
        <v>0</v>
      </c>
      <c r="BA100" s="22">
        <f t="shared" si="94"/>
        <v>0</v>
      </c>
      <c r="BB100" s="22">
        <f t="shared" si="94"/>
        <v>177787660</v>
      </c>
      <c r="BC100" s="22">
        <f t="shared" si="94"/>
        <v>0</v>
      </c>
      <c r="BD100" s="22">
        <f t="shared" si="94"/>
        <v>0</v>
      </c>
      <c r="BE100" s="22">
        <f t="shared" si="94"/>
        <v>0</v>
      </c>
      <c r="BF100" s="22">
        <f t="shared" si="94"/>
        <v>0</v>
      </c>
      <c r="BG100" s="22">
        <f t="shared" si="94"/>
        <v>0</v>
      </c>
      <c r="BH100" s="22">
        <f t="shared" si="94"/>
        <v>0</v>
      </c>
      <c r="BI100" s="22">
        <f t="shared" si="94"/>
        <v>1940856</v>
      </c>
      <c r="BJ100" s="22">
        <f t="shared" si="94"/>
        <v>0</v>
      </c>
      <c r="BK100" s="22">
        <f t="shared" si="94"/>
        <v>0</v>
      </c>
      <c r="BL100" s="22">
        <f t="shared" si="94"/>
        <v>0</v>
      </c>
      <c r="BM100" s="22">
        <f t="shared" si="94"/>
        <v>0</v>
      </c>
      <c r="BN100" s="22">
        <f t="shared" si="94"/>
        <v>80351833</v>
      </c>
      <c r="BO100" s="22">
        <f t="shared" si="94"/>
        <v>0</v>
      </c>
      <c r="BP100" s="22">
        <f t="shared" si="95"/>
        <v>0</v>
      </c>
      <c r="BQ100" s="22">
        <f t="shared" si="95"/>
        <v>0</v>
      </c>
      <c r="BR100" s="22">
        <f t="shared" si="95"/>
        <v>0</v>
      </c>
      <c r="BS100" s="22">
        <f t="shared" si="95"/>
        <v>43000000</v>
      </c>
      <c r="BT100" s="23">
        <f t="shared" si="66"/>
        <v>0.45441030740342314</v>
      </c>
      <c r="BU100" s="22">
        <f t="shared" si="96"/>
        <v>738850441</v>
      </c>
      <c r="BV100" s="22"/>
      <c r="BW100" s="22"/>
      <c r="BX100" s="22">
        <v>23102199</v>
      </c>
      <c r="BY100" s="22">
        <f>+'[5]AGOSTO 2017'!$H$102+'[5]AGOSTO 2017'!$H$104+'[5]AGOSTO 2017'!$H$108+'[5]AGOSTO 2017'!$H$116</f>
        <v>697857678</v>
      </c>
      <c r="BZ100" s="22">
        <f>+'[3]JUNIO 2017'!$H$75</f>
        <v>7736670</v>
      </c>
      <c r="CA100" s="22"/>
      <c r="CB100" s="22"/>
      <c r="CC100" s="22"/>
      <c r="CD100" s="22"/>
      <c r="CE100" s="22"/>
      <c r="CF100" s="22">
        <f>+'[5]AGOSTO 2017'!$H$114</f>
        <v>10153894</v>
      </c>
      <c r="CG100" s="22"/>
      <c r="CH100" s="22"/>
      <c r="CI100" s="22"/>
      <c r="CJ100" s="22"/>
      <c r="CK100" s="22"/>
      <c r="CL100" s="22"/>
      <c r="CM100" s="22"/>
      <c r="CN100" s="22"/>
      <c r="CO100" s="22"/>
      <c r="CP100" s="23">
        <f t="shared" si="58"/>
        <v>0.54558969259657686</v>
      </c>
      <c r="CQ100" s="22">
        <f t="shared" si="97"/>
        <v>887103964</v>
      </c>
      <c r="CR100" s="22">
        <f t="shared" si="101"/>
        <v>0</v>
      </c>
      <c r="CS100" s="22">
        <f t="shared" si="98"/>
        <v>0</v>
      </c>
      <c r="CT100" s="22">
        <f t="shared" si="98"/>
        <v>371545968</v>
      </c>
      <c r="CU100" s="22">
        <f t="shared" si="98"/>
        <v>117894636</v>
      </c>
      <c r="CV100" s="22">
        <f t="shared" si="98"/>
        <v>73146343</v>
      </c>
      <c r="CW100" s="22">
        <f t="shared" si="98"/>
        <v>0</v>
      </c>
      <c r="CX100" s="22">
        <f t="shared" si="98"/>
        <v>0</v>
      </c>
      <c r="CY100" s="22">
        <f t="shared" si="98"/>
        <v>0</v>
      </c>
      <c r="CZ100" s="22">
        <f t="shared" si="98"/>
        <v>0</v>
      </c>
      <c r="DA100" s="22">
        <f t="shared" si="98"/>
        <v>1940856</v>
      </c>
      <c r="DB100" s="22">
        <f t="shared" si="98"/>
        <v>124999928</v>
      </c>
      <c r="DC100" s="22">
        <f t="shared" si="98"/>
        <v>0</v>
      </c>
      <c r="DD100" s="22">
        <f t="shared" si="98"/>
        <v>0</v>
      </c>
      <c r="DE100" s="22">
        <f t="shared" si="98"/>
        <v>20224400</v>
      </c>
      <c r="DF100" s="22">
        <f t="shared" si="98"/>
        <v>80351833</v>
      </c>
      <c r="DG100" s="22">
        <f t="shared" si="98"/>
        <v>0</v>
      </c>
      <c r="DH100" s="22">
        <f t="shared" si="98"/>
        <v>0</v>
      </c>
      <c r="DI100" s="22">
        <f t="shared" si="99"/>
        <v>0</v>
      </c>
      <c r="DJ100" s="22">
        <f t="shared" si="99"/>
        <v>0</v>
      </c>
      <c r="DK100" s="22">
        <f t="shared" si="99"/>
        <v>97000000</v>
      </c>
      <c r="DM100" s="26">
        <f t="shared" si="83"/>
        <v>1625954405</v>
      </c>
      <c r="DN100" s="26">
        <f t="shared" si="84"/>
        <v>1625954405</v>
      </c>
      <c r="DO100" s="26">
        <f t="shared" si="85"/>
        <v>1625954405</v>
      </c>
    </row>
    <row r="101" spans="1:119" ht="91.5" customHeight="1" x14ac:dyDescent="0.25">
      <c r="A101" s="192"/>
      <c r="B101" s="189"/>
      <c r="C101" s="53" t="s">
        <v>313</v>
      </c>
      <c r="D101" s="66" t="s">
        <v>314</v>
      </c>
      <c r="E101" s="83">
        <v>211</v>
      </c>
      <c r="F101" s="21" t="s">
        <v>315</v>
      </c>
      <c r="G101" s="22">
        <f t="shared" si="91"/>
        <v>821004004</v>
      </c>
      <c r="H101" s="22"/>
      <c r="I101" s="22"/>
      <c r="J101" s="22">
        <v>300000000</v>
      </c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>
        <v>100000000</v>
      </c>
      <c r="V101" s="22">
        <f>157081606+74911804</f>
        <v>231993410</v>
      </c>
      <c r="W101" s="22"/>
      <c r="X101" s="22"/>
      <c r="Y101" s="22"/>
      <c r="Z101" s="22"/>
      <c r="AA101" s="22">
        <f>55787227+16338076+3095452+24000000+40000000+20428057+9361782+10000000+8000000+2000000</f>
        <v>189010594</v>
      </c>
      <c r="AB101" s="23">
        <f t="shared" si="63"/>
        <v>0.94448164226005404</v>
      </c>
      <c r="AC101" s="22">
        <f t="shared" si="92"/>
        <v>775423210</v>
      </c>
      <c r="AD101" s="22"/>
      <c r="AE101" s="22"/>
      <c r="AF101" s="22">
        <f>+'[6]JULIO 2017'!$L$107</f>
        <v>300000000</v>
      </c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>
        <f>+'[6]JULIO 2017'!$W$107</f>
        <v>100000000</v>
      </c>
      <c r="AR101" s="22">
        <f>+'[5]AGOSTO 2017'!$X$132</f>
        <v>228875610</v>
      </c>
      <c r="AS101" s="22"/>
      <c r="AT101" s="22"/>
      <c r="AU101" s="22"/>
      <c r="AV101" s="22"/>
      <c r="AW101" s="22">
        <f>+'[5]AGOSTO 2017'!$AC$132</f>
        <v>146547600</v>
      </c>
      <c r="AX101" s="23">
        <f t="shared" si="64"/>
        <v>5.5518357739945956E-2</v>
      </c>
      <c r="AY101" s="22">
        <f t="shared" si="93"/>
        <v>45580794</v>
      </c>
      <c r="AZ101" s="22">
        <f t="shared" si="94"/>
        <v>0</v>
      </c>
      <c r="BA101" s="22">
        <f t="shared" si="94"/>
        <v>0</v>
      </c>
      <c r="BB101" s="22">
        <f t="shared" si="94"/>
        <v>0</v>
      </c>
      <c r="BC101" s="22">
        <f t="shared" si="94"/>
        <v>0</v>
      </c>
      <c r="BD101" s="22">
        <f t="shared" si="94"/>
        <v>0</v>
      </c>
      <c r="BE101" s="22">
        <f t="shared" si="94"/>
        <v>0</v>
      </c>
      <c r="BF101" s="22">
        <f t="shared" si="94"/>
        <v>0</v>
      </c>
      <c r="BG101" s="22">
        <f t="shared" si="94"/>
        <v>0</v>
      </c>
      <c r="BH101" s="22">
        <f t="shared" si="94"/>
        <v>0</v>
      </c>
      <c r="BI101" s="22">
        <f t="shared" si="94"/>
        <v>0</v>
      </c>
      <c r="BJ101" s="22">
        <f t="shared" si="94"/>
        <v>0</v>
      </c>
      <c r="BK101" s="22">
        <f t="shared" si="94"/>
        <v>0</v>
      </c>
      <c r="BL101" s="22">
        <f t="shared" si="94"/>
        <v>0</v>
      </c>
      <c r="BM101" s="22">
        <f t="shared" si="94"/>
        <v>0</v>
      </c>
      <c r="BN101" s="22">
        <f t="shared" si="94"/>
        <v>3117800</v>
      </c>
      <c r="BO101" s="22">
        <f t="shared" si="94"/>
        <v>0</v>
      </c>
      <c r="BP101" s="22">
        <f t="shared" si="95"/>
        <v>0</v>
      </c>
      <c r="BQ101" s="22">
        <f t="shared" si="95"/>
        <v>0</v>
      </c>
      <c r="BR101" s="22">
        <f t="shared" si="95"/>
        <v>0</v>
      </c>
      <c r="BS101" s="22">
        <f t="shared" si="95"/>
        <v>42462994</v>
      </c>
      <c r="BT101" s="23">
        <f t="shared" si="66"/>
        <v>0.64892443447815384</v>
      </c>
      <c r="BU101" s="22">
        <f t="shared" si="96"/>
        <v>532769559</v>
      </c>
      <c r="BV101" s="22"/>
      <c r="BW101" s="22"/>
      <c r="BX101" s="22">
        <f>+'[8]ABRIL 2017'!$H$62</f>
        <v>269868200</v>
      </c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>
        <f>+'[5]AGOSTO 2017'!$H$162+'[5]AGOSTO 2017'!$H$165+'[5]AGOSTO 2017'!$X$168</f>
        <v>228875610</v>
      </c>
      <c r="CK101" s="22"/>
      <c r="CL101" s="22"/>
      <c r="CM101" s="22"/>
      <c r="CN101" s="22"/>
      <c r="CO101" s="22">
        <f>+'[5]AGOSTO 2017'!$H$130-CJ101-BX101</f>
        <v>34025749</v>
      </c>
      <c r="CP101" s="23">
        <f t="shared" si="58"/>
        <v>0.35107556552184616</v>
      </c>
      <c r="CQ101" s="22">
        <f t="shared" si="97"/>
        <v>288234445</v>
      </c>
      <c r="CR101" s="22">
        <f t="shared" si="101"/>
        <v>0</v>
      </c>
      <c r="CS101" s="22">
        <f t="shared" si="98"/>
        <v>0</v>
      </c>
      <c r="CT101" s="22">
        <f t="shared" si="98"/>
        <v>30131800</v>
      </c>
      <c r="CU101" s="22">
        <f t="shared" si="98"/>
        <v>0</v>
      </c>
      <c r="CV101" s="22">
        <f t="shared" si="98"/>
        <v>0</v>
      </c>
      <c r="CW101" s="22">
        <f t="shared" si="98"/>
        <v>0</v>
      </c>
      <c r="CX101" s="22">
        <f t="shared" si="98"/>
        <v>0</v>
      </c>
      <c r="CY101" s="22">
        <f t="shared" si="98"/>
        <v>0</v>
      </c>
      <c r="CZ101" s="22">
        <f t="shared" si="98"/>
        <v>0</v>
      </c>
      <c r="DA101" s="22">
        <f t="shared" si="98"/>
        <v>0</v>
      </c>
      <c r="DB101" s="22">
        <f t="shared" si="98"/>
        <v>0</v>
      </c>
      <c r="DC101" s="22">
        <f t="shared" si="98"/>
        <v>0</v>
      </c>
      <c r="DD101" s="22">
        <f t="shared" si="98"/>
        <v>0</v>
      </c>
      <c r="DE101" s="22">
        <f t="shared" si="98"/>
        <v>100000000</v>
      </c>
      <c r="DF101" s="22">
        <f t="shared" si="98"/>
        <v>3117800</v>
      </c>
      <c r="DG101" s="22">
        <f t="shared" si="98"/>
        <v>0</v>
      </c>
      <c r="DH101" s="22">
        <f t="shared" si="98"/>
        <v>0</v>
      </c>
      <c r="DI101" s="22">
        <f t="shared" si="99"/>
        <v>0</v>
      </c>
      <c r="DJ101" s="22">
        <f t="shared" si="99"/>
        <v>0</v>
      </c>
      <c r="DK101" s="22">
        <f t="shared" si="99"/>
        <v>154984845</v>
      </c>
      <c r="DM101" s="26">
        <f t="shared" si="83"/>
        <v>821004004</v>
      </c>
      <c r="DN101" s="26">
        <f t="shared" si="84"/>
        <v>821004004</v>
      </c>
      <c r="DO101" s="26">
        <f t="shared" si="85"/>
        <v>821004004</v>
      </c>
    </row>
    <row r="102" spans="1:119" s="73" customFormat="1" ht="106.5" customHeight="1" x14ac:dyDescent="0.25">
      <c r="A102" s="192"/>
      <c r="B102" s="189"/>
      <c r="C102" s="84" t="s">
        <v>316</v>
      </c>
      <c r="D102" s="19" t="s">
        <v>317</v>
      </c>
      <c r="E102" s="82">
        <v>211</v>
      </c>
      <c r="F102" s="21" t="s">
        <v>318</v>
      </c>
      <c r="G102" s="22">
        <f t="shared" si="91"/>
        <v>322536487</v>
      </c>
      <c r="H102" s="25"/>
      <c r="I102" s="71"/>
      <c r="J102" s="22"/>
      <c r="K102" s="22"/>
      <c r="L102" s="22"/>
      <c r="M102" s="22">
        <v>210796645</v>
      </c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>
        <f>49844416+10267+1325109+19384428+505024+15468663+5000000+9051815+6334831+4815289</f>
        <v>111739842</v>
      </c>
      <c r="AB102" s="72">
        <f t="shared" si="63"/>
        <v>0.22130720050906985</v>
      </c>
      <c r="AC102" s="22">
        <f t="shared" si="92"/>
        <v>71379647</v>
      </c>
      <c r="AD102" s="71"/>
      <c r="AE102" s="71"/>
      <c r="AF102" s="71"/>
      <c r="AG102" s="71"/>
      <c r="AH102" s="71"/>
      <c r="AI102" s="71">
        <f>+'[4]MAYO 2017'!$N$77</f>
        <v>11416500</v>
      </c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>
        <f>+'[5]AGOSTO 2017'!$AC$186</f>
        <v>59963147</v>
      </c>
      <c r="AX102" s="72">
        <f t="shared" si="64"/>
        <v>0.77869279949093018</v>
      </c>
      <c r="AY102" s="22">
        <f t="shared" si="93"/>
        <v>251156840</v>
      </c>
      <c r="AZ102" s="22">
        <f t="shared" si="94"/>
        <v>0</v>
      </c>
      <c r="BA102" s="22">
        <f t="shared" si="94"/>
        <v>0</v>
      </c>
      <c r="BB102" s="22">
        <f t="shared" si="94"/>
        <v>0</v>
      </c>
      <c r="BC102" s="22">
        <f t="shared" si="94"/>
        <v>0</v>
      </c>
      <c r="BD102" s="22">
        <f t="shared" si="94"/>
        <v>0</v>
      </c>
      <c r="BE102" s="22">
        <f t="shared" si="94"/>
        <v>199380145</v>
      </c>
      <c r="BF102" s="22">
        <f t="shared" si="94"/>
        <v>0</v>
      </c>
      <c r="BG102" s="22">
        <f t="shared" si="94"/>
        <v>0</v>
      </c>
      <c r="BH102" s="22">
        <f t="shared" si="94"/>
        <v>0</v>
      </c>
      <c r="BI102" s="22">
        <f t="shared" si="94"/>
        <v>0</v>
      </c>
      <c r="BJ102" s="22">
        <f t="shared" si="94"/>
        <v>0</v>
      </c>
      <c r="BK102" s="22">
        <f t="shared" si="94"/>
        <v>0</v>
      </c>
      <c r="BL102" s="22">
        <f t="shared" si="94"/>
        <v>0</v>
      </c>
      <c r="BM102" s="22">
        <f t="shared" si="94"/>
        <v>0</v>
      </c>
      <c r="BN102" s="22">
        <f t="shared" si="94"/>
        <v>0</v>
      </c>
      <c r="BO102" s="22">
        <f t="shared" si="94"/>
        <v>0</v>
      </c>
      <c r="BP102" s="22">
        <f t="shared" si="95"/>
        <v>0</v>
      </c>
      <c r="BQ102" s="22">
        <f t="shared" si="95"/>
        <v>0</v>
      </c>
      <c r="BR102" s="22">
        <f t="shared" si="95"/>
        <v>0</v>
      </c>
      <c r="BS102" s="22">
        <f t="shared" si="95"/>
        <v>51776695</v>
      </c>
      <c r="BT102" s="72">
        <f t="shared" si="66"/>
        <v>0.20382831601932838</v>
      </c>
      <c r="BU102" s="22">
        <f t="shared" si="96"/>
        <v>65742069</v>
      </c>
      <c r="BV102" s="71"/>
      <c r="BW102" s="71"/>
      <c r="BX102" s="71"/>
      <c r="BY102" s="71"/>
      <c r="BZ102" s="71"/>
      <c r="CA102" s="71">
        <f>+'[3]JUNIO 2017'!$H$111</f>
        <v>11416500</v>
      </c>
      <c r="CB102" s="71"/>
      <c r="CC102" s="71"/>
      <c r="CD102" s="71"/>
      <c r="CE102" s="71"/>
      <c r="CF102" s="71"/>
      <c r="CG102" s="71"/>
      <c r="CH102" s="71"/>
      <c r="CI102" s="71"/>
      <c r="CJ102" s="71"/>
      <c r="CK102" s="71"/>
      <c r="CL102" s="71"/>
      <c r="CM102" s="71"/>
      <c r="CN102" s="71"/>
      <c r="CO102" s="71">
        <f>+'[5]AGOSTO 2017'!$H$184-CA102</f>
        <v>54325569</v>
      </c>
      <c r="CP102" s="72">
        <f t="shared" si="58"/>
        <v>0.79617168398067162</v>
      </c>
      <c r="CQ102" s="22">
        <f t="shared" si="97"/>
        <v>256794418</v>
      </c>
      <c r="CR102" s="22">
        <f t="shared" si="101"/>
        <v>0</v>
      </c>
      <c r="CS102" s="22">
        <f t="shared" si="98"/>
        <v>0</v>
      </c>
      <c r="CT102" s="22">
        <f t="shared" si="98"/>
        <v>0</v>
      </c>
      <c r="CU102" s="22">
        <f t="shared" si="98"/>
        <v>0</v>
      </c>
      <c r="CV102" s="22">
        <f t="shared" si="98"/>
        <v>0</v>
      </c>
      <c r="CW102" s="22">
        <f t="shared" si="98"/>
        <v>199380145</v>
      </c>
      <c r="CX102" s="22">
        <f t="shared" si="98"/>
        <v>0</v>
      </c>
      <c r="CY102" s="22">
        <f t="shared" si="98"/>
        <v>0</v>
      </c>
      <c r="CZ102" s="22">
        <f t="shared" si="98"/>
        <v>0</v>
      </c>
      <c r="DA102" s="22">
        <f t="shared" si="98"/>
        <v>0</v>
      </c>
      <c r="DB102" s="22">
        <f t="shared" si="98"/>
        <v>0</v>
      </c>
      <c r="DC102" s="22">
        <f t="shared" si="98"/>
        <v>0</v>
      </c>
      <c r="DD102" s="22">
        <f t="shared" si="98"/>
        <v>0</v>
      </c>
      <c r="DE102" s="22">
        <f t="shared" si="98"/>
        <v>0</v>
      </c>
      <c r="DF102" s="22">
        <f t="shared" si="98"/>
        <v>0</v>
      </c>
      <c r="DG102" s="22">
        <f t="shared" si="98"/>
        <v>0</v>
      </c>
      <c r="DH102" s="22">
        <f t="shared" si="98"/>
        <v>0</v>
      </c>
      <c r="DI102" s="22">
        <f t="shared" si="99"/>
        <v>0</v>
      </c>
      <c r="DJ102" s="22">
        <f t="shared" si="99"/>
        <v>0</v>
      </c>
      <c r="DK102" s="22">
        <f t="shared" si="99"/>
        <v>57414273</v>
      </c>
      <c r="DM102" s="26">
        <f t="shared" si="83"/>
        <v>322536487</v>
      </c>
      <c r="DN102" s="26">
        <f t="shared" si="84"/>
        <v>322536487</v>
      </c>
      <c r="DO102" s="26">
        <f t="shared" si="85"/>
        <v>322536487</v>
      </c>
    </row>
    <row r="103" spans="1:119" ht="48" x14ac:dyDescent="0.25">
      <c r="A103" s="192"/>
      <c r="B103" s="189"/>
      <c r="C103" s="53" t="s">
        <v>319</v>
      </c>
      <c r="D103" s="31" t="s">
        <v>320</v>
      </c>
      <c r="E103" s="83">
        <v>211</v>
      </c>
      <c r="F103" s="21" t="s">
        <v>321</v>
      </c>
      <c r="G103" s="22">
        <f t="shared" si="91"/>
        <v>239038727</v>
      </c>
      <c r="H103" s="33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>
        <v>200000000</v>
      </c>
      <c r="U103" s="22"/>
      <c r="V103" s="22"/>
      <c r="W103" s="22"/>
      <c r="X103" s="22"/>
      <c r="Y103" s="22"/>
      <c r="Z103" s="22"/>
      <c r="AA103" s="22">
        <f>3000000+1038727+20000000+1000000+10000000+4000000</f>
        <v>39038727</v>
      </c>
      <c r="AB103" s="23">
        <f t="shared" si="63"/>
        <v>0.32251062816277465</v>
      </c>
      <c r="AC103" s="22">
        <f t="shared" si="92"/>
        <v>77092530</v>
      </c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>
        <f>+'[4]MAYO 2017'!$V$85</f>
        <v>49455530</v>
      </c>
      <c r="AQ103" s="22"/>
      <c r="AR103" s="22"/>
      <c r="AS103" s="22"/>
      <c r="AT103" s="22"/>
      <c r="AU103" s="22"/>
      <c r="AV103" s="22"/>
      <c r="AW103" s="71">
        <f>+'[6]JULIO 2017'!$AC$157</f>
        <v>27637000</v>
      </c>
      <c r="AX103" s="23">
        <f t="shared" si="64"/>
        <v>0.67748937183722535</v>
      </c>
      <c r="AY103" s="22">
        <f t="shared" si="93"/>
        <v>161946197</v>
      </c>
      <c r="AZ103" s="22">
        <f t="shared" si="94"/>
        <v>0</v>
      </c>
      <c r="BA103" s="22">
        <f t="shared" si="94"/>
        <v>0</v>
      </c>
      <c r="BB103" s="22">
        <f t="shared" si="94"/>
        <v>0</v>
      </c>
      <c r="BC103" s="22">
        <f t="shared" si="94"/>
        <v>0</v>
      </c>
      <c r="BD103" s="22">
        <f t="shared" si="94"/>
        <v>0</v>
      </c>
      <c r="BE103" s="22">
        <f t="shared" si="94"/>
        <v>0</v>
      </c>
      <c r="BF103" s="22">
        <f t="shared" si="94"/>
        <v>0</v>
      </c>
      <c r="BG103" s="22">
        <f t="shared" si="94"/>
        <v>0</v>
      </c>
      <c r="BH103" s="22">
        <f t="shared" si="94"/>
        <v>0</v>
      </c>
      <c r="BI103" s="22">
        <f t="shared" si="94"/>
        <v>0</v>
      </c>
      <c r="BJ103" s="22">
        <f t="shared" si="94"/>
        <v>0</v>
      </c>
      <c r="BK103" s="22">
        <f t="shared" si="94"/>
        <v>0</v>
      </c>
      <c r="BL103" s="22">
        <f t="shared" si="94"/>
        <v>150544470</v>
      </c>
      <c r="BM103" s="22">
        <f t="shared" si="94"/>
        <v>0</v>
      </c>
      <c r="BN103" s="22">
        <f t="shared" si="94"/>
        <v>0</v>
      </c>
      <c r="BO103" s="22">
        <f t="shared" si="94"/>
        <v>0</v>
      </c>
      <c r="BP103" s="22">
        <f t="shared" si="95"/>
        <v>0</v>
      </c>
      <c r="BQ103" s="22">
        <f t="shared" si="95"/>
        <v>0</v>
      </c>
      <c r="BR103" s="22">
        <f t="shared" si="95"/>
        <v>0</v>
      </c>
      <c r="BS103" s="22">
        <f t="shared" si="95"/>
        <v>11401727</v>
      </c>
      <c r="BT103" s="23">
        <f t="shared" si="66"/>
        <v>0.25462446091423502</v>
      </c>
      <c r="BU103" s="22">
        <f t="shared" si="96"/>
        <v>60865107</v>
      </c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>
        <f>+'[6]JULIO 2017'!$H$160+'[6]JULIO 2017'!$H$163+'[6]JULIO 2017'!$H$165+'[6]JULIO 2017'!$H$167</f>
        <v>49455530</v>
      </c>
      <c r="CI103" s="22"/>
      <c r="CJ103" s="22"/>
      <c r="CK103" s="22"/>
      <c r="CL103" s="22"/>
      <c r="CM103" s="22"/>
      <c r="CN103" s="22"/>
      <c r="CO103" s="22">
        <f>+'[5]AGOSTO 2017'!$H$207-CH103</f>
        <v>11409577</v>
      </c>
      <c r="CP103" s="23">
        <f t="shared" si="58"/>
        <v>0.74537553908576504</v>
      </c>
      <c r="CQ103" s="22">
        <f t="shared" si="97"/>
        <v>178173620</v>
      </c>
      <c r="CR103" s="22">
        <f t="shared" si="101"/>
        <v>0</v>
      </c>
      <c r="CS103" s="22">
        <f t="shared" si="98"/>
        <v>0</v>
      </c>
      <c r="CT103" s="22">
        <f t="shared" si="98"/>
        <v>0</v>
      </c>
      <c r="CU103" s="22">
        <f t="shared" si="98"/>
        <v>0</v>
      </c>
      <c r="CV103" s="22">
        <f t="shared" si="98"/>
        <v>0</v>
      </c>
      <c r="CW103" s="22">
        <f t="shared" si="98"/>
        <v>0</v>
      </c>
      <c r="CX103" s="22">
        <f t="shared" si="98"/>
        <v>0</v>
      </c>
      <c r="CY103" s="22">
        <f t="shared" si="98"/>
        <v>0</v>
      </c>
      <c r="CZ103" s="22">
        <f t="shared" si="98"/>
        <v>0</v>
      </c>
      <c r="DA103" s="22">
        <f t="shared" si="98"/>
        <v>0</v>
      </c>
      <c r="DB103" s="22">
        <f t="shared" si="98"/>
        <v>0</v>
      </c>
      <c r="DC103" s="22">
        <f t="shared" si="98"/>
        <v>0</v>
      </c>
      <c r="DD103" s="22">
        <f t="shared" si="98"/>
        <v>150544470</v>
      </c>
      <c r="DE103" s="22">
        <f t="shared" si="98"/>
        <v>0</v>
      </c>
      <c r="DF103" s="22">
        <f t="shared" si="98"/>
        <v>0</v>
      </c>
      <c r="DG103" s="22">
        <f t="shared" si="98"/>
        <v>0</v>
      </c>
      <c r="DH103" s="22">
        <f t="shared" si="98"/>
        <v>0</v>
      </c>
      <c r="DI103" s="22">
        <f t="shared" si="99"/>
        <v>0</v>
      </c>
      <c r="DJ103" s="22">
        <f t="shared" si="99"/>
        <v>0</v>
      </c>
      <c r="DK103" s="22">
        <f t="shared" si="99"/>
        <v>27629150</v>
      </c>
      <c r="DM103" s="26">
        <f t="shared" si="83"/>
        <v>239038727</v>
      </c>
      <c r="DN103" s="26">
        <f t="shared" si="84"/>
        <v>239038727</v>
      </c>
      <c r="DO103" s="26">
        <f t="shared" si="85"/>
        <v>239038727</v>
      </c>
    </row>
    <row r="104" spans="1:119" ht="31.5" customHeight="1" x14ac:dyDescent="0.25">
      <c r="A104" s="192"/>
      <c r="B104" s="189"/>
      <c r="C104" s="53" t="s">
        <v>322</v>
      </c>
      <c r="D104" s="19" t="s">
        <v>323</v>
      </c>
      <c r="E104" s="83">
        <v>211</v>
      </c>
      <c r="F104" s="21" t="s">
        <v>324</v>
      </c>
      <c r="G104" s="22">
        <f t="shared" si="91"/>
        <v>8765084</v>
      </c>
      <c r="H104" s="33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>
        <f>4000000+1865085+2399999+500000+4000000-4000000</f>
        <v>8765084</v>
      </c>
      <c r="AB104" s="23">
        <f t="shared" si="63"/>
        <v>0.9429554810883729</v>
      </c>
      <c r="AC104" s="22">
        <f t="shared" si="92"/>
        <v>8265084</v>
      </c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>
        <f>+'[5]AGOSTO 2017'!$AC$235</f>
        <v>8265084</v>
      </c>
      <c r="AX104" s="23">
        <f t="shared" si="64"/>
        <v>5.7044518911627096E-2</v>
      </c>
      <c r="AY104" s="22">
        <f t="shared" si="93"/>
        <v>500000</v>
      </c>
      <c r="AZ104" s="22">
        <f t="shared" si="94"/>
        <v>0</v>
      </c>
      <c r="BA104" s="22">
        <f t="shared" si="94"/>
        <v>0</v>
      </c>
      <c r="BB104" s="22">
        <f t="shared" si="94"/>
        <v>0</v>
      </c>
      <c r="BC104" s="22">
        <f t="shared" si="94"/>
        <v>0</v>
      </c>
      <c r="BD104" s="22">
        <f t="shared" si="94"/>
        <v>0</v>
      </c>
      <c r="BE104" s="22">
        <f t="shared" si="94"/>
        <v>0</v>
      </c>
      <c r="BF104" s="22">
        <f t="shared" si="94"/>
        <v>0</v>
      </c>
      <c r="BG104" s="22">
        <f t="shared" si="94"/>
        <v>0</v>
      </c>
      <c r="BH104" s="22">
        <f t="shared" si="94"/>
        <v>0</v>
      </c>
      <c r="BI104" s="22">
        <f t="shared" si="94"/>
        <v>0</v>
      </c>
      <c r="BJ104" s="22">
        <f t="shared" si="94"/>
        <v>0</v>
      </c>
      <c r="BK104" s="22">
        <f t="shared" si="94"/>
        <v>0</v>
      </c>
      <c r="BL104" s="22">
        <f t="shared" si="94"/>
        <v>0</v>
      </c>
      <c r="BM104" s="22">
        <f t="shared" si="94"/>
        <v>0</v>
      </c>
      <c r="BN104" s="22">
        <f t="shared" si="94"/>
        <v>0</v>
      </c>
      <c r="BO104" s="22">
        <f t="shared" si="94"/>
        <v>0</v>
      </c>
      <c r="BP104" s="22">
        <f t="shared" si="95"/>
        <v>0</v>
      </c>
      <c r="BQ104" s="22">
        <f t="shared" si="95"/>
        <v>0</v>
      </c>
      <c r="BR104" s="22">
        <f t="shared" si="95"/>
        <v>0</v>
      </c>
      <c r="BS104" s="22">
        <f t="shared" si="95"/>
        <v>500000</v>
      </c>
      <c r="BT104" s="23">
        <f t="shared" si="66"/>
        <v>0.94286991431000544</v>
      </c>
      <c r="BU104" s="22">
        <f t="shared" si="96"/>
        <v>8264334</v>
      </c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>
        <f>+'[5]AGOSTO 2017'!$H$233</f>
        <v>8264334</v>
      </c>
      <c r="CP104" s="23">
        <f t="shared" si="58"/>
        <v>5.7130085689994559E-2</v>
      </c>
      <c r="CQ104" s="22">
        <f t="shared" si="97"/>
        <v>500750</v>
      </c>
      <c r="CR104" s="22">
        <f t="shared" si="101"/>
        <v>0</v>
      </c>
      <c r="CS104" s="22">
        <f t="shared" si="98"/>
        <v>0</v>
      </c>
      <c r="CT104" s="22">
        <f t="shared" si="98"/>
        <v>0</v>
      </c>
      <c r="CU104" s="22">
        <f t="shared" si="98"/>
        <v>0</v>
      </c>
      <c r="CV104" s="22">
        <f t="shared" si="98"/>
        <v>0</v>
      </c>
      <c r="CW104" s="22">
        <f t="shared" si="98"/>
        <v>0</v>
      </c>
      <c r="CX104" s="22">
        <f t="shared" si="98"/>
        <v>0</v>
      </c>
      <c r="CY104" s="22">
        <f t="shared" si="98"/>
        <v>0</v>
      </c>
      <c r="CZ104" s="22">
        <f t="shared" si="98"/>
        <v>0</v>
      </c>
      <c r="DA104" s="22">
        <f t="shared" si="98"/>
        <v>0</v>
      </c>
      <c r="DB104" s="22">
        <f t="shared" si="98"/>
        <v>0</v>
      </c>
      <c r="DC104" s="22">
        <f t="shared" si="98"/>
        <v>0</v>
      </c>
      <c r="DD104" s="22">
        <f t="shared" si="98"/>
        <v>0</v>
      </c>
      <c r="DE104" s="22">
        <f t="shared" si="98"/>
        <v>0</v>
      </c>
      <c r="DF104" s="22">
        <f t="shared" si="98"/>
        <v>0</v>
      </c>
      <c r="DG104" s="22">
        <f t="shared" si="98"/>
        <v>0</v>
      </c>
      <c r="DH104" s="22">
        <f t="shared" si="98"/>
        <v>0</v>
      </c>
      <c r="DI104" s="22">
        <f t="shared" si="99"/>
        <v>0</v>
      </c>
      <c r="DJ104" s="22">
        <f t="shared" si="99"/>
        <v>0</v>
      </c>
      <c r="DK104" s="22">
        <f t="shared" si="99"/>
        <v>500750</v>
      </c>
      <c r="DM104" s="26">
        <f t="shared" si="83"/>
        <v>8765084</v>
      </c>
      <c r="DN104" s="26">
        <f t="shared" si="84"/>
        <v>8765084</v>
      </c>
      <c r="DO104" s="26">
        <f t="shared" si="85"/>
        <v>8765084</v>
      </c>
    </row>
    <row r="105" spans="1:119" ht="27" customHeight="1" x14ac:dyDescent="0.25">
      <c r="A105" s="192"/>
      <c r="B105" s="189"/>
      <c r="C105" s="53" t="s">
        <v>325</v>
      </c>
      <c r="D105" s="19" t="s">
        <v>326</v>
      </c>
      <c r="E105" s="83">
        <v>211</v>
      </c>
      <c r="F105" s="21" t="s">
        <v>327</v>
      </c>
      <c r="G105" s="22">
        <f t="shared" si="91"/>
        <v>360351833</v>
      </c>
      <c r="H105" s="33"/>
      <c r="I105" s="22"/>
      <c r="J105" s="22">
        <f>450000000-94648167</f>
        <v>355351833</v>
      </c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>
        <f>5000000</f>
        <v>5000000</v>
      </c>
      <c r="AB105" s="23">
        <f t="shared" si="63"/>
        <v>0.9830196562369089</v>
      </c>
      <c r="AC105" s="22">
        <f t="shared" si="92"/>
        <v>354232935</v>
      </c>
      <c r="AD105" s="22"/>
      <c r="AE105" s="22"/>
      <c r="AF105" s="22">
        <f>+'[5]AGOSTO 2017'!$L$251</f>
        <v>354232935</v>
      </c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3">
        <f t="shared" si="64"/>
        <v>1.6980343763091099E-2</v>
      </c>
      <c r="AY105" s="22">
        <f t="shared" si="93"/>
        <v>6118898</v>
      </c>
      <c r="AZ105" s="22">
        <f t="shared" si="94"/>
        <v>0</v>
      </c>
      <c r="BA105" s="22">
        <f t="shared" si="94"/>
        <v>0</v>
      </c>
      <c r="BB105" s="22">
        <f t="shared" si="94"/>
        <v>1118898</v>
      </c>
      <c r="BC105" s="22">
        <f t="shared" si="94"/>
        <v>0</v>
      </c>
      <c r="BD105" s="22">
        <f t="shared" si="94"/>
        <v>0</v>
      </c>
      <c r="BE105" s="22">
        <f t="shared" si="94"/>
        <v>0</v>
      </c>
      <c r="BF105" s="22">
        <f t="shared" si="94"/>
        <v>0</v>
      </c>
      <c r="BG105" s="22">
        <f t="shared" si="94"/>
        <v>0</v>
      </c>
      <c r="BH105" s="22">
        <f t="shared" si="94"/>
        <v>0</v>
      </c>
      <c r="BI105" s="22">
        <f t="shared" si="94"/>
        <v>0</v>
      </c>
      <c r="BJ105" s="22">
        <f t="shared" si="94"/>
        <v>0</v>
      </c>
      <c r="BK105" s="22">
        <f t="shared" si="94"/>
        <v>0</v>
      </c>
      <c r="BL105" s="22">
        <f t="shared" si="94"/>
        <v>0</v>
      </c>
      <c r="BM105" s="22">
        <f t="shared" si="94"/>
        <v>0</v>
      </c>
      <c r="BN105" s="22">
        <f t="shared" si="94"/>
        <v>0</v>
      </c>
      <c r="BO105" s="22">
        <f t="shared" si="94"/>
        <v>0</v>
      </c>
      <c r="BP105" s="22">
        <f t="shared" si="95"/>
        <v>0</v>
      </c>
      <c r="BQ105" s="22">
        <f t="shared" si="95"/>
        <v>0</v>
      </c>
      <c r="BR105" s="22">
        <f t="shared" si="95"/>
        <v>0</v>
      </c>
      <c r="BS105" s="22">
        <f t="shared" si="95"/>
        <v>5000000</v>
      </c>
      <c r="BT105" s="23">
        <f t="shared" si="66"/>
        <v>0.98301965346184317</v>
      </c>
      <c r="BU105" s="22">
        <f t="shared" si="96"/>
        <v>354232934</v>
      </c>
      <c r="BV105" s="22"/>
      <c r="BW105" s="22"/>
      <c r="BX105" s="22">
        <f>+'[5]AGOSTO 2017'!$H$249</f>
        <v>354232934</v>
      </c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3">
        <f t="shared" si="58"/>
        <v>1.6980346538156832E-2</v>
      </c>
      <c r="CQ105" s="22">
        <f t="shared" si="97"/>
        <v>6118899</v>
      </c>
      <c r="CR105" s="22">
        <f t="shared" si="101"/>
        <v>0</v>
      </c>
      <c r="CS105" s="22">
        <f t="shared" si="98"/>
        <v>0</v>
      </c>
      <c r="CT105" s="22">
        <f t="shared" si="98"/>
        <v>1118899</v>
      </c>
      <c r="CU105" s="22">
        <f t="shared" si="98"/>
        <v>0</v>
      </c>
      <c r="CV105" s="22">
        <f t="shared" si="98"/>
        <v>0</v>
      </c>
      <c r="CW105" s="22">
        <f t="shared" si="98"/>
        <v>0</v>
      </c>
      <c r="CX105" s="22">
        <f t="shared" si="98"/>
        <v>0</v>
      </c>
      <c r="CY105" s="22">
        <f t="shared" si="98"/>
        <v>0</v>
      </c>
      <c r="CZ105" s="22">
        <f t="shared" si="98"/>
        <v>0</v>
      </c>
      <c r="DA105" s="22">
        <f t="shared" si="98"/>
        <v>0</v>
      </c>
      <c r="DB105" s="22">
        <f t="shared" si="98"/>
        <v>0</v>
      </c>
      <c r="DC105" s="22">
        <f t="shared" si="98"/>
        <v>0</v>
      </c>
      <c r="DD105" s="22">
        <f t="shared" si="98"/>
        <v>0</v>
      </c>
      <c r="DE105" s="22">
        <f t="shared" si="98"/>
        <v>0</v>
      </c>
      <c r="DF105" s="22">
        <f t="shared" si="98"/>
        <v>0</v>
      </c>
      <c r="DG105" s="22">
        <f t="shared" si="98"/>
        <v>0</v>
      </c>
      <c r="DH105" s="22">
        <f t="shared" si="98"/>
        <v>0</v>
      </c>
      <c r="DI105" s="22">
        <f t="shared" si="99"/>
        <v>0</v>
      </c>
      <c r="DJ105" s="22">
        <f t="shared" si="99"/>
        <v>0</v>
      </c>
      <c r="DK105" s="22">
        <f t="shared" si="99"/>
        <v>5000000</v>
      </c>
      <c r="DM105" s="26">
        <f t="shared" si="83"/>
        <v>360351833</v>
      </c>
      <c r="DN105" s="26">
        <f t="shared" si="84"/>
        <v>360351833</v>
      </c>
      <c r="DO105" s="26">
        <f t="shared" si="85"/>
        <v>360351833</v>
      </c>
    </row>
    <row r="106" spans="1:119" ht="24" customHeight="1" x14ac:dyDescent="0.25">
      <c r="A106" s="192"/>
      <c r="B106" s="189"/>
      <c r="C106" s="53" t="s">
        <v>328</v>
      </c>
      <c r="D106" s="19" t="s">
        <v>329</v>
      </c>
      <c r="E106" s="83">
        <v>211</v>
      </c>
      <c r="F106" s="21" t="s">
        <v>330</v>
      </c>
      <c r="G106" s="22">
        <f t="shared" si="91"/>
        <v>359648167</v>
      </c>
      <c r="H106" s="33"/>
      <c r="I106" s="22">
        <v>112000000</v>
      </c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>
        <f>153000000+94648167</f>
        <v>247648167</v>
      </c>
      <c r="W106" s="22"/>
      <c r="X106" s="22"/>
      <c r="Y106" s="22"/>
      <c r="Z106" s="22"/>
      <c r="AA106" s="22"/>
      <c r="AB106" s="23">
        <f t="shared" si="63"/>
        <v>0.99721158595533732</v>
      </c>
      <c r="AC106" s="22">
        <f t="shared" si="92"/>
        <v>358645319</v>
      </c>
      <c r="AD106" s="22"/>
      <c r="AE106" s="22">
        <f>+'[3]JUNIO 2017'!$K$162</f>
        <v>110997152</v>
      </c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>
        <f>+'[6]JULIO 2017'!$X$212</f>
        <v>247648167</v>
      </c>
      <c r="AS106" s="22"/>
      <c r="AT106" s="22"/>
      <c r="AU106" s="22"/>
      <c r="AV106" s="22"/>
      <c r="AW106" s="22"/>
      <c r="AX106" s="23">
        <f t="shared" si="64"/>
        <v>2.7884140446626793E-3</v>
      </c>
      <c r="AY106" s="22">
        <f t="shared" si="93"/>
        <v>1002848</v>
      </c>
      <c r="AZ106" s="22">
        <f t="shared" si="94"/>
        <v>0</v>
      </c>
      <c r="BA106" s="22">
        <f t="shared" si="94"/>
        <v>1002848</v>
      </c>
      <c r="BB106" s="22">
        <f t="shared" si="94"/>
        <v>0</v>
      </c>
      <c r="BC106" s="22">
        <f t="shared" si="94"/>
        <v>0</v>
      </c>
      <c r="BD106" s="22">
        <f t="shared" si="94"/>
        <v>0</v>
      </c>
      <c r="BE106" s="22">
        <f t="shared" si="94"/>
        <v>0</v>
      </c>
      <c r="BF106" s="22">
        <f t="shared" si="94"/>
        <v>0</v>
      </c>
      <c r="BG106" s="22">
        <f t="shared" si="94"/>
        <v>0</v>
      </c>
      <c r="BH106" s="22">
        <f t="shared" si="94"/>
        <v>0</v>
      </c>
      <c r="BI106" s="22">
        <f t="shared" si="94"/>
        <v>0</v>
      </c>
      <c r="BJ106" s="22">
        <f t="shared" si="94"/>
        <v>0</v>
      </c>
      <c r="BK106" s="22">
        <f t="shared" si="94"/>
        <v>0</v>
      </c>
      <c r="BL106" s="22">
        <f t="shared" si="94"/>
        <v>0</v>
      </c>
      <c r="BM106" s="22">
        <f t="shared" si="94"/>
        <v>0</v>
      </c>
      <c r="BN106" s="22">
        <f t="shared" si="94"/>
        <v>0</v>
      </c>
      <c r="BO106" s="22">
        <f t="shared" si="94"/>
        <v>0</v>
      </c>
      <c r="BP106" s="22">
        <f t="shared" si="95"/>
        <v>0</v>
      </c>
      <c r="BQ106" s="22">
        <f t="shared" si="95"/>
        <v>0</v>
      </c>
      <c r="BR106" s="22">
        <f t="shared" si="95"/>
        <v>0</v>
      </c>
      <c r="BS106" s="22">
        <f t="shared" si="95"/>
        <v>0</v>
      </c>
      <c r="BT106" s="23">
        <f t="shared" si="66"/>
        <v>0.97380562209288279</v>
      </c>
      <c r="BU106" s="22">
        <f t="shared" si="96"/>
        <v>350227407</v>
      </c>
      <c r="BV106" s="22"/>
      <c r="BW106" s="22">
        <f>+'[6]JULIO 2017'!$H$217</f>
        <v>110832974</v>
      </c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>
        <f>+'[6]JULIO 2017'!$H$210-BW106</f>
        <v>239394433</v>
      </c>
      <c r="CK106" s="22"/>
      <c r="CL106" s="22"/>
      <c r="CM106" s="22"/>
      <c r="CN106" s="22"/>
      <c r="CO106" s="22"/>
      <c r="CP106" s="23">
        <f t="shared" si="58"/>
        <v>2.6194377907117206E-2</v>
      </c>
      <c r="CQ106" s="22">
        <f t="shared" si="97"/>
        <v>9420760</v>
      </c>
      <c r="CR106" s="22">
        <f t="shared" si="101"/>
        <v>0</v>
      </c>
      <c r="CS106" s="22">
        <f t="shared" si="98"/>
        <v>1167026</v>
      </c>
      <c r="CT106" s="22">
        <f t="shared" si="98"/>
        <v>0</v>
      </c>
      <c r="CU106" s="22">
        <f t="shared" si="98"/>
        <v>0</v>
      </c>
      <c r="CV106" s="22">
        <f t="shared" si="98"/>
        <v>0</v>
      </c>
      <c r="CW106" s="22">
        <f t="shared" si="98"/>
        <v>0</v>
      </c>
      <c r="CX106" s="22">
        <f t="shared" si="98"/>
        <v>0</v>
      </c>
      <c r="CY106" s="22">
        <f t="shared" si="98"/>
        <v>0</v>
      </c>
      <c r="CZ106" s="22">
        <f t="shared" si="98"/>
        <v>0</v>
      </c>
      <c r="DA106" s="22">
        <f t="shared" si="98"/>
        <v>0</v>
      </c>
      <c r="DB106" s="22">
        <f t="shared" si="98"/>
        <v>0</v>
      </c>
      <c r="DC106" s="22">
        <f t="shared" si="98"/>
        <v>0</v>
      </c>
      <c r="DD106" s="22">
        <f t="shared" si="98"/>
        <v>0</v>
      </c>
      <c r="DE106" s="22">
        <f t="shared" si="98"/>
        <v>0</v>
      </c>
      <c r="DF106" s="22">
        <f t="shared" si="98"/>
        <v>8253734</v>
      </c>
      <c r="DG106" s="22">
        <f t="shared" si="98"/>
        <v>0</v>
      </c>
      <c r="DH106" s="22">
        <f t="shared" si="98"/>
        <v>0</v>
      </c>
      <c r="DI106" s="22">
        <f t="shared" si="99"/>
        <v>0</v>
      </c>
      <c r="DJ106" s="22">
        <f t="shared" si="99"/>
        <v>0</v>
      </c>
      <c r="DK106" s="22">
        <f t="shared" si="99"/>
        <v>0</v>
      </c>
      <c r="DM106" s="26">
        <f t="shared" si="83"/>
        <v>359648167</v>
      </c>
      <c r="DN106" s="26">
        <f t="shared" si="84"/>
        <v>359648167</v>
      </c>
      <c r="DO106" s="26">
        <f t="shared" si="85"/>
        <v>359648167</v>
      </c>
    </row>
    <row r="107" spans="1:119" s="73" customFormat="1" ht="45.75" customHeight="1" x14ac:dyDescent="0.25">
      <c r="A107" s="58"/>
      <c r="B107" s="19" t="s">
        <v>331</v>
      </c>
      <c r="C107" s="84" t="s">
        <v>332</v>
      </c>
      <c r="D107" s="19" t="s">
        <v>333</v>
      </c>
      <c r="E107" s="82" t="s">
        <v>334</v>
      </c>
      <c r="F107" s="21" t="s">
        <v>335</v>
      </c>
      <c r="G107" s="22">
        <f t="shared" si="91"/>
        <v>823639235</v>
      </c>
      <c r="H107" s="25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>
        <v>123182603</v>
      </c>
      <c r="V107" s="22"/>
      <c r="W107" s="22"/>
      <c r="X107" s="22"/>
      <c r="Y107" s="22">
        <f>300856785+366514874</f>
        <v>667371659</v>
      </c>
      <c r="Z107" s="22">
        <v>33084973</v>
      </c>
      <c r="AA107" s="22"/>
      <c r="AB107" s="72">
        <f t="shared" si="63"/>
        <v>1</v>
      </c>
      <c r="AC107" s="22">
        <f t="shared" si="92"/>
        <v>823639235</v>
      </c>
      <c r="AD107" s="71"/>
      <c r="AE107" s="71"/>
      <c r="AF107" s="71"/>
      <c r="AG107" s="71"/>
      <c r="AH107" s="71"/>
      <c r="AI107" s="71"/>
      <c r="AJ107" s="71"/>
      <c r="AK107" s="71"/>
      <c r="AL107" s="71"/>
      <c r="AM107" s="71"/>
      <c r="AN107" s="71"/>
      <c r="AO107" s="71"/>
      <c r="AP107" s="71"/>
      <c r="AQ107" s="71">
        <f>+'[5]AGOSTO 2017'!$W$3337</f>
        <v>123182603</v>
      </c>
      <c r="AR107" s="71"/>
      <c r="AS107" s="71"/>
      <c r="AT107" s="71"/>
      <c r="AU107" s="71">
        <f>+'[8]ABRIL 2017'!$AA$1559</f>
        <v>667371659</v>
      </c>
      <c r="AV107" s="71">
        <f>+'[1]ENERO 2017'!$S$891</f>
        <v>33084973</v>
      </c>
      <c r="AW107" s="71"/>
      <c r="AX107" s="72">
        <f t="shared" si="64"/>
        <v>0</v>
      </c>
      <c r="AY107" s="22">
        <f t="shared" si="93"/>
        <v>0</v>
      </c>
      <c r="AZ107" s="22">
        <f t="shared" si="94"/>
        <v>0</v>
      </c>
      <c r="BA107" s="22">
        <f t="shared" si="94"/>
        <v>0</v>
      </c>
      <c r="BB107" s="22">
        <f t="shared" si="94"/>
        <v>0</v>
      </c>
      <c r="BC107" s="22">
        <f t="shared" si="94"/>
        <v>0</v>
      </c>
      <c r="BD107" s="22">
        <f t="shared" si="94"/>
        <v>0</v>
      </c>
      <c r="BE107" s="22">
        <f t="shared" si="94"/>
        <v>0</v>
      </c>
      <c r="BF107" s="22">
        <f t="shared" si="94"/>
        <v>0</v>
      </c>
      <c r="BG107" s="22">
        <f t="shared" si="94"/>
        <v>0</v>
      </c>
      <c r="BH107" s="22">
        <f t="shared" si="94"/>
        <v>0</v>
      </c>
      <c r="BI107" s="22">
        <f t="shared" si="94"/>
        <v>0</v>
      </c>
      <c r="BJ107" s="22">
        <f t="shared" si="94"/>
        <v>0</v>
      </c>
      <c r="BK107" s="22">
        <f t="shared" si="94"/>
        <v>0</v>
      </c>
      <c r="BL107" s="22">
        <f t="shared" si="94"/>
        <v>0</v>
      </c>
      <c r="BM107" s="22">
        <f t="shared" si="94"/>
        <v>0</v>
      </c>
      <c r="BN107" s="22">
        <f t="shared" si="94"/>
        <v>0</v>
      </c>
      <c r="BO107" s="22">
        <f t="shared" si="94"/>
        <v>0</v>
      </c>
      <c r="BP107" s="22">
        <f t="shared" si="95"/>
        <v>0</v>
      </c>
      <c r="BQ107" s="22">
        <f t="shared" si="95"/>
        <v>0</v>
      </c>
      <c r="BR107" s="22">
        <f t="shared" si="95"/>
        <v>0</v>
      </c>
      <c r="BS107" s="22">
        <f t="shared" si="95"/>
        <v>0</v>
      </c>
      <c r="BT107" s="72">
        <f t="shared" si="66"/>
        <v>0.75743387819546992</v>
      </c>
      <c r="BU107" s="22">
        <f t="shared" si="96"/>
        <v>623852260</v>
      </c>
      <c r="BV107" s="71"/>
      <c r="BW107" s="71"/>
      <c r="BX107" s="71"/>
      <c r="BY107" s="71"/>
      <c r="BZ107" s="71"/>
      <c r="CA107" s="71"/>
      <c r="CB107" s="71"/>
      <c r="CC107" s="71"/>
      <c r="CD107" s="71"/>
      <c r="CE107" s="71"/>
      <c r="CF107" s="71"/>
      <c r="CG107" s="71"/>
      <c r="CH107" s="71"/>
      <c r="CI107" s="71"/>
      <c r="CJ107" s="71"/>
      <c r="CK107" s="71"/>
      <c r="CL107" s="71"/>
      <c r="CM107" s="71">
        <f>+'[5]AGOSTO 2017'!$H$3338+'[5]AGOSTO 2017'!$H$3359</f>
        <v>591018660</v>
      </c>
      <c r="CN107" s="71">
        <f>+'[5]AGOSTO 2017'!$H$3355</f>
        <v>32833600</v>
      </c>
      <c r="CO107" s="71"/>
      <c r="CP107" s="72">
        <f t="shared" si="58"/>
        <v>0.24256612180453008</v>
      </c>
      <c r="CQ107" s="22">
        <f t="shared" si="97"/>
        <v>199786975</v>
      </c>
      <c r="CR107" s="22">
        <f t="shared" si="101"/>
        <v>0</v>
      </c>
      <c r="CS107" s="22">
        <f t="shared" si="98"/>
        <v>0</v>
      </c>
      <c r="CT107" s="22">
        <f t="shared" si="98"/>
        <v>0</v>
      </c>
      <c r="CU107" s="22">
        <f t="shared" si="98"/>
        <v>0</v>
      </c>
      <c r="CV107" s="22">
        <f t="shared" si="98"/>
        <v>0</v>
      </c>
      <c r="CW107" s="22">
        <f t="shared" si="98"/>
        <v>0</v>
      </c>
      <c r="CX107" s="22">
        <f t="shared" si="98"/>
        <v>0</v>
      </c>
      <c r="CY107" s="22">
        <f t="shared" si="98"/>
        <v>0</v>
      </c>
      <c r="CZ107" s="22">
        <f t="shared" si="98"/>
        <v>0</v>
      </c>
      <c r="DA107" s="22">
        <f t="shared" si="98"/>
        <v>0</v>
      </c>
      <c r="DB107" s="22">
        <f t="shared" si="98"/>
        <v>0</v>
      </c>
      <c r="DC107" s="22">
        <f t="shared" si="98"/>
        <v>0</v>
      </c>
      <c r="DD107" s="22">
        <f t="shared" si="98"/>
        <v>0</v>
      </c>
      <c r="DE107" s="22">
        <f t="shared" si="98"/>
        <v>123182603</v>
      </c>
      <c r="DF107" s="22">
        <f t="shared" si="98"/>
        <v>0</v>
      </c>
      <c r="DG107" s="22">
        <f t="shared" si="98"/>
        <v>0</v>
      </c>
      <c r="DH107" s="22">
        <f t="shared" si="98"/>
        <v>0</v>
      </c>
      <c r="DI107" s="22">
        <f t="shared" si="99"/>
        <v>76352999</v>
      </c>
      <c r="DJ107" s="22">
        <f t="shared" si="99"/>
        <v>251373</v>
      </c>
      <c r="DK107" s="22">
        <f t="shared" si="99"/>
        <v>0</v>
      </c>
      <c r="DM107" s="26">
        <f t="shared" si="83"/>
        <v>823639235</v>
      </c>
      <c r="DN107" s="26">
        <f t="shared" si="84"/>
        <v>823639235</v>
      </c>
      <c r="DO107" s="26">
        <f t="shared" si="85"/>
        <v>823639235</v>
      </c>
    </row>
    <row r="108" spans="1:119" ht="36.75" customHeight="1" x14ac:dyDescent="0.25">
      <c r="A108" s="192" t="s">
        <v>292</v>
      </c>
      <c r="B108" s="200" t="s">
        <v>336</v>
      </c>
      <c r="C108" s="53" t="s">
        <v>337</v>
      </c>
      <c r="D108" s="19" t="s">
        <v>338</v>
      </c>
      <c r="E108" s="83">
        <v>510</v>
      </c>
      <c r="F108" s="21" t="s">
        <v>339</v>
      </c>
      <c r="G108" s="22">
        <f t="shared" si="91"/>
        <v>120238283</v>
      </c>
      <c r="H108" s="22"/>
      <c r="I108" s="22">
        <f>115954283+4284000</f>
        <v>120238283</v>
      </c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3">
        <f t="shared" si="63"/>
        <v>0.9794406911149921</v>
      </c>
      <c r="AC108" s="22">
        <f t="shared" si="92"/>
        <v>117766267</v>
      </c>
      <c r="AD108" s="22"/>
      <c r="AE108" s="22">
        <f>+'[6]JULIO 2017'!$K$2296</f>
        <v>117766267</v>
      </c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3">
        <f t="shared" si="64"/>
        <v>2.0559308885007899E-2</v>
      </c>
      <c r="AY108" s="22">
        <f t="shared" si="93"/>
        <v>2472016</v>
      </c>
      <c r="AZ108" s="22">
        <f t="shared" si="94"/>
        <v>0</v>
      </c>
      <c r="BA108" s="22">
        <f t="shared" si="94"/>
        <v>2472016</v>
      </c>
      <c r="BB108" s="22">
        <f t="shared" si="94"/>
        <v>0</v>
      </c>
      <c r="BC108" s="22">
        <f t="shared" si="94"/>
        <v>0</v>
      </c>
      <c r="BD108" s="22">
        <f t="shared" si="94"/>
        <v>0</v>
      </c>
      <c r="BE108" s="22">
        <f t="shared" si="94"/>
        <v>0</v>
      </c>
      <c r="BF108" s="22">
        <f t="shared" si="94"/>
        <v>0</v>
      </c>
      <c r="BG108" s="22">
        <f t="shared" si="94"/>
        <v>0</v>
      </c>
      <c r="BH108" s="22">
        <f t="shared" si="94"/>
        <v>0</v>
      </c>
      <c r="BI108" s="22">
        <f t="shared" si="94"/>
        <v>0</v>
      </c>
      <c r="BJ108" s="22">
        <f t="shared" si="94"/>
        <v>0</v>
      </c>
      <c r="BK108" s="22">
        <f t="shared" si="94"/>
        <v>0</v>
      </c>
      <c r="BL108" s="22">
        <f t="shared" si="94"/>
        <v>0</v>
      </c>
      <c r="BM108" s="22">
        <f t="shared" si="94"/>
        <v>0</v>
      </c>
      <c r="BN108" s="22">
        <f t="shared" si="94"/>
        <v>0</v>
      </c>
      <c r="BO108" s="22">
        <f t="shared" si="94"/>
        <v>0</v>
      </c>
      <c r="BP108" s="22">
        <f t="shared" si="95"/>
        <v>0</v>
      </c>
      <c r="BQ108" s="22">
        <f t="shared" si="95"/>
        <v>0</v>
      </c>
      <c r="BR108" s="22">
        <f t="shared" si="95"/>
        <v>0</v>
      </c>
      <c r="BS108" s="22">
        <f t="shared" si="95"/>
        <v>0</v>
      </c>
      <c r="BT108" s="23">
        <f t="shared" si="66"/>
        <v>0.97710695020486948</v>
      </c>
      <c r="BU108" s="22">
        <f t="shared" si="96"/>
        <v>117485662</v>
      </c>
      <c r="BV108" s="22"/>
      <c r="BW108" s="22">
        <f>+'[5]AGOSTO 2017'!$H$2633</f>
        <v>117485662</v>
      </c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3">
        <f t="shared" si="58"/>
        <v>2.2893049795130516E-2</v>
      </c>
      <c r="CQ108" s="22">
        <f t="shared" si="97"/>
        <v>2752621</v>
      </c>
      <c r="CR108" s="22">
        <f t="shared" si="101"/>
        <v>0</v>
      </c>
      <c r="CS108" s="22">
        <f t="shared" si="98"/>
        <v>2752621</v>
      </c>
      <c r="CT108" s="22">
        <f t="shared" si="98"/>
        <v>0</v>
      </c>
      <c r="CU108" s="22">
        <f t="shared" si="98"/>
        <v>0</v>
      </c>
      <c r="CV108" s="22">
        <f t="shared" si="98"/>
        <v>0</v>
      </c>
      <c r="CW108" s="22">
        <f t="shared" si="98"/>
        <v>0</v>
      </c>
      <c r="CX108" s="22">
        <f t="shared" si="98"/>
        <v>0</v>
      </c>
      <c r="CY108" s="22">
        <f t="shared" si="98"/>
        <v>0</v>
      </c>
      <c r="CZ108" s="22">
        <f t="shared" si="98"/>
        <v>0</v>
      </c>
      <c r="DA108" s="22">
        <f t="shared" si="98"/>
        <v>0</v>
      </c>
      <c r="DB108" s="22">
        <f t="shared" si="98"/>
        <v>0</v>
      </c>
      <c r="DC108" s="22">
        <f t="shared" si="98"/>
        <v>0</v>
      </c>
      <c r="DD108" s="22">
        <f t="shared" si="98"/>
        <v>0</v>
      </c>
      <c r="DE108" s="22">
        <f t="shared" si="98"/>
        <v>0</v>
      </c>
      <c r="DF108" s="22">
        <f t="shared" si="98"/>
        <v>0</v>
      </c>
      <c r="DG108" s="22">
        <f t="shared" si="98"/>
        <v>0</v>
      </c>
      <c r="DH108" s="22">
        <f t="shared" si="98"/>
        <v>0</v>
      </c>
      <c r="DI108" s="22">
        <f t="shared" si="99"/>
        <v>0</v>
      </c>
      <c r="DJ108" s="22">
        <f t="shared" si="99"/>
        <v>0</v>
      </c>
      <c r="DK108" s="22">
        <f t="shared" si="99"/>
        <v>0</v>
      </c>
      <c r="DM108" s="26">
        <f t="shared" si="83"/>
        <v>120238283</v>
      </c>
      <c r="DN108" s="26">
        <f t="shared" si="84"/>
        <v>120238283</v>
      </c>
      <c r="DO108" s="26">
        <f t="shared" si="85"/>
        <v>120238283</v>
      </c>
    </row>
    <row r="109" spans="1:119" ht="51" customHeight="1" x14ac:dyDescent="0.25">
      <c r="A109" s="192"/>
      <c r="B109" s="201"/>
      <c r="C109" s="53" t="s">
        <v>340</v>
      </c>
      <c r="D109" s="19" t="s">
        <v>341</v>
      </c>
      <c r="E109" s="83">
        <v>510</v>
      </c>
      <c r="F109" s="21" t="s">
        <v>339</v>
      </c>
      <c r="G109" s="22">
        <f t="shared" si="91"/>
        <v>134000000</v>
      </c>
      <c r="H109" s="22"/>
      <c r="I109" s="22">
        <v>134000000</v>
      </c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3">
        <f t="shared" si="63"/>
        <v>0.97124261940298506</v>
      </c>
      <c r="AC109" s="22">
        <f t="shared" si="92"/>
        <v>130146511</v>
      </c>
      <c r="AD109" s="22"/>
      <c r="AE109" s="22">
        <f>+'[6]JULIO 2017'!$K$2313</f>
        <v>130146511</v>
      </c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3">
        <f t="shared" si="64"/>
        <v>2.8757380597014937E-2</v>
      </c>
      <c r="AY109" s="22">
        <f t="shared" si="93"/>
        <v>3853489</v>
      </c>
      <c r="AZ109" s="22">
        <f t="shared" si="94"/>
        <v>0</v>
      </c>
      <c r="BA109" s="22">
        <f t="shared" si="94"/>
        <v>3853489</v>
      </c>
      <c r="BB109" s="22">
        <f t="shared" si="94"/>
        <v>0</v>
      </c>
      <c r="BC109" s="22">
        <f t="shared" si="94"/>
        <v>0</v>
      </c>
      <c r="BD109" s="22">
        <f t="shared" si="94"/>
        <v>0</v>
      </c>
      <c r="BE109" s="22">
        <f t="shared" si="94"/>
        <v>0</v>
      </c>
      <c r="BF109" s="22">
        <f t="shared" si="94"/>
        <v>0</v>
      </c>
      <c r="BG109" s="22">
        <f t="shared" si="94"/>
        <v>0</v>
      </c>
      <c r="BH109" s="22">
        <f t="shared" si="94"/>
        <v>0</v>
      </c>
      <c r="BI109" s="22">
        <f t="shared" si="94"/>
        <v>0</v>
      </c>
      <c r="BJ109" s="22">
        <f t="shared" si="94"/>
        <v>0</v>
      </c>
      <c r="BK109" s="22">
        <f t="shared" si="94"/>
        <v>0</v>
      </c>
      <c r="BL109" s="22">
        <f t="shared" si="94"/>
        <v>0</v>
      </c>
      <c r="BM109" s="22">
        <f t="shared" si="94"/>
        <v>0</v>
      </c>
      <c r="BN109" s="22">
        <f t="shared" si="94"/>
        <v>0</v>
      </c>
      <c r="BO109" s="22">
        <f t="shared" si="94"/>
        <v>0</v>
      </c>
      <c r="BP109" s="22">
        <f t="shared" si="95"/>
        <v>0</v>
      </c>
      <c r="BQ109" s="22">
        <f t="shared" si="95"/>
        <v>0</v>
      </c>
      <c r="BR109" s="22">
        <f t="shared" si="95"/>
        <v>0</v>
      </c>
      <c r="BS109" s="22">
        <f t="shared" si="95"/>
        <v>0</v>
      </c>
      <c r="BT109" s="23">
        <f t="shared" si="66"/>
        <v>0.97124261940298506</v>
      </c>
      <c r="BU109" s="22">
        <f t="shared" si="96"/>
        <v>130146511</v>
      </c>
      <c r="BV109" s="22"/>
      <c r="BW109" s="22">
        <f>+'[5]AGOSTO 2017'!$H$2651</f>
        <v>130146511</v>
      </c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3">
        <f t="shared" si="58"/>
        <v>2.8757380597014937E-2</v>
      </c>
      <c r="CQ109" s="22">
        <f t="shared" si="97"/>
        <v>3853489</v>
      </c>
      <c r="CR109" s="22">
        <f t="shared" si="101"/>
        <v>0</v>
      </c>
      <c r="CS109" s="22">
        <f t="shared" si="98"/>
        <v>3853489</v>
      </c>
      <c r="CT109" s="22">
        <f t="shared" si="98"/>
        <v>0</v>
      </c>
      <c r="CU109" s="22">
        <f t="shared" si="98"/>
        <v>0</v>
      </c>
      <c r="CV109" s="22">
        <f t="shared" si="98"/>
        <v>0</v>
      </c>
      <c r="CW109" s="22">
        <f t="shared" si="98"/>
        <v>0</v>
      </c>
      <c r="CX109" s="22">
        <f t="shared" si="98"/>
        <v>0</v>
      </c>
      <c r="CY109" s="22">
        <f t="shared" si="98"/>
        <v>0</v>
      </c>
      <c r="CZ109" s="22">
        <f t="shared" si="98"/>
        <v>0</v>
      </c>
      <c r="DA109" s="22">
        <f t="shared" si="98"/>
        <v>0</v>
      </c>
      <c r="DB109" s="22">
        <f t="shared" si="98"/>
        <v>0</v>
      </c>
      <c r="DC109" s="22">
        <f t="shared" si="98"/>
        <v>0</v>
      </c>
      <c r="DD109" s="22">
        <f t="shared" si="98"/>
        <v>0</v>
      </c>
      <c r="DE109" s="22">
        <f t="shared" si="98"/>
        <v>0</v>
      </c>
      <c r="DF109" s="22">
        <f t="shared" si="98"/>
        <v>0</v>
      </c>
      <c r="DG109" s="22">
        <f t="shared" si="98"/>
        <v>0</v>
      </c>
      <c r="DH109" s="22">
        <f t="shared" si="98"/>
        <v>0</v>
      </c>
      <c r="DI109" s="22">
        <f t="shared" si="99"/>
        <v>0</v>
      </c>
      <c r="DJ109" s="22">
        <f t="shared" si="99"/>
        <v>0</v>
      </c>
      <c r="DK109" s="22">
        <f t="shared" si="99"/>
        <v>0</v>
      </c>
      <c r="DM109" s="26">
        <f t="shared" si="83"/>
        <v>134000000</v>
      </c>
      <c r="DN109" s="26">
        <f t="shared" si="84"/>
        <v>134000000</v>
      </c>
      <c r="DO109" s="26">
        <f t="shared" si="85"/>
        <v>134000000</v>
      </c>
    </row>
    <row r="110" spans="1:119" ht="38.25" customHeight="1" x14ac:dyDescent="0.25">
      <c r="A110" s="192"/>
      <c r="B110" s="201"/>
      <c r="C110" s="53" t="s">
        <v>342</v>
      </c>
      <c r="D110" s="19" t="s">
        <v>343</v>
      </c>
      <c r="E110" s="83">
        <v>510</v>
      </c>
      <c r="F110" s="21" t="s">
        <v>339</v>
      </c>
      <c r="G110" s="22">
        <f t="shared" si="91"/>
        <v>26716000</v>
      </c>
      <c r="H110" s="22"/>
      <c r="I110" s="22">
        <f>31000000-4284000</f>
        <v>26716000</v>
      </c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3">
        <f t="shared" si="63"/>
        <v>0.31816140140739629</v>
      </c>
      <c r="AC110" s="22">
        <f t="shared" si="92"/>
        <v>8500000</v>
      </c>
      <c r="AD110" s="22"/>
      <c r="AE110" s="22">
        <f>+'[6]JULIO 2017'!$K$2334</f>
        <v>8500000</v>
      </c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3">
        <f t="shared" si="64"/>
        <v>0.68183859859260365</v>
      </c>
      <c r="AY110" s="22">
        <f t="shared" si="93"/>
        <v>18216000</v>
      </c>
      <c r="AZ110" s="22">
        <f t="shared" si="94"/>
        <v>0</v>
      </c>
      <c r="BA110" s="22">
        <f t="shared" si="94"/>
        <v>18216000</v>
      </c>
      <c r="BB110" s="22">
        <f t="shared" si="94"/>
        <v>0</v>
      </c>
      <c r="BC110" s="22">
        <f t="shared" si="94"/>
        <v>0</v>
      </c>
      <c r="BD110" s="22">
        <f t="shared" si="94"/>
        <v>0</v>
      </c>
      <c r="BE110" s="22">
        <f t="shared" si="94"/>
        <v>0</v>
      </c>
      <c r="BF110" s="22">
        <f t="shared" si="94"/>
        <v>0</v>
      </c>
      <c r="BG110" s="22">
        <f t="shared" si="94"/>
        <v>0</v>
      </c>
      <c r="BH110" s="22">
        <f t="shared" si="94"/>
        <v>0</v>
      </c>
      <c r="BI110" s="22">
        <f t="shared" si="94"/>
        <v>0</v>
      </c>
      <c r="BJ110" s="22">
        <f t="shared" si="94"/>
        <v>0</v>
      </c>
      <c r="BK110" s="22">
        <f t="shared" si="94"/>
        <v>0</v>
      </c>
      <c r="BL110" s="22">
        <f t="shared" si="94"/>
        <v>0</v>
      </c>
      <c r="BM110" s="22">
        <f t="shared" si="94"/>
        <v>0</v>
      </c>
      <c r="BN110" s="22">
        <f t="shared" si="94"/>
        <v>0</v>
      </c>
      <c r="BO110" s="22">
        <f t="shared" si="94"/>
        <v>0</v>
      </c>
      <c r="BP110" s="22">
        <f t="shared" si="95"/>
        <v>0</v>
      </c>
      <c r="BQ110" s="22">
        <f t="shared" si="95"/>
        <v>0</v>
      </c>
      <c r="BR110" s="22">
        <f t="shared" si="95"/>
        <v>0</v>
      </c>
      <c r="BS110" s="22">
        <f t="shared" si="95"/>
        <v>0</v>
      </c>
      <c r="BT110" s="23">
        <f t="shared" si="66"/>
        <v>0.31816140140739629</v>
      </c>
      <c r="BU110" s="22">
        <f t="shared" si="96"/>
        <v>8500000</v>
      </c>
      <c r="BV110" s="22"/>
      <c r="BW110" s="22">
        <f>+'[5]AGOSTO 2017'!$H$2673</f>
        <v>8500000</v>
      </c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3">
        <f t="shared" si="58"/>
        <v>0.68183859859260365</v>
      </c>
      <c r="CQ110" s="22">
        <f t="shared" si="97"/>
        <v>18216000</v>
      </c>
      <c r="CR110" s="22">
        <f t="shared" si="101"/>
        <v>0</v>
      </c>
      <c r="CS110" s="22">
        <f t="shared" si="98"/>
        <v>18216000</v>
      </c>
      <c r="CT110" s="22">
        <f t="shared" si="98"/>
        <v>0</v>
      </c>
      <c r="CU110" s="22">
        <f t="shared" si="98"/>
        <v>0</v>
      </c>
      <c r="CV110" s="22">
        <f t="shared" si="98"/>
        <v>0</v>
      </c>
      <c r="CW110" s="22">
        <f t="shared" si="98"/>
        <v>0</v>
      </c>
      <c r="CX110" s="22">
        <f t="shared" si="98"/>
        <v>0</v>
      </c>
      <c r="CY110" s="22">
        <f t="shared" si="98"/>
        <v>0</v>
      </c>
      <c r="CZ110" s="22">
        <f t="shared" si="98"/>
        <v>0</v>
      </c>
      <c r="DA110" s="22">
        <f t="shared" si="98"/>
        <v>0</v>
      </c>
      <c r="DB110" s="22">
        <f t="shared" si="98"/>
        <v>0</v>
      </c>
      <c r="DC110" s="22">
        <f t="shared" si="98"/>
        <v>0</v>
      </c>
      <c r="DD110" s="22">
        <f t="shared" si="98"/>
        <v>0</v>
      </c>
      <c r="DE110" s="22">
        <f t="shared" si="98"/>
        <v>0</v>
      </c>
      <c r="DF110" s="22">
        <f t="shared" si="98"/>
        <v>0</v>
      </c>
      <c r="DG110" s="22">
        <f t="shared" si="98"/>
        <v>0</v>
      </c>
      <c r="DH110" s="22">
        <f t="shared" si="98"/>
        <v>0</v>
      </c>
      <c r="DI110" s="22">
        <f t="shared" si="99"/>
        <v>0</v>
      </c>
      <c r="DJ110" s="22">
        <f t="shared" si="99"/>
        <v>0</v>
      </c>
      <c r="DK110" s="22">
        <f t="shared" si="99"/>
        <v>0</v>
      </c>
      <c r="DM110" s="26">
        <f t="shared" si="83"/>
        <v>26716000</v>
      </c>
      <c r="DN110" s="26">
        <f t="shared" si="84"/>
        <v>26716000</v>
      </c>
      <c r="DO110" s="26">
        <f t="shared" si="85"/>
        <v>26716000</v>
      </c>
    </row>
    <row r="111" spans="1:119" ht="32.25" customHeight="1" x14ac:dyDescent="0.25">
      <c r="A111" s="192"/>
      <c r="B111" s="202"/>
      <c r="C111" s="53" t="s">
        <v>344</v>
      </c>
      <c r="D111" s="19" t="s">
        <v>345</v>
      </c>
      <c r="E111" s="83">
        <v>510</v>
      </c>
      <c r="F111" s="21" t="s">
        <v>200</v>
      </c>
      <c r="G111" s="22">
        <f t="shared" si="91"/>
        <v>0</v>
      </c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>
        <f>2000000-2000000</f>
        <v>0</v>
      </c>
      <c r="AB111" s="23" t="e">
        <f t="shared" si="63"/>
        <v>#DIV/0!</v>
      </c>
      <c r="AC111" s="22">
        <f t="shared" si="92"/>
        <v>0</v>
      </c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3" t="e">
        <f t="shared" si="64"/>
        <v>#DIV/0!</v>
      </c>
      <c r="AY111" s="22">
        <f t="shared" si="93"/>
        <v>0</v>
      </c>
      <c r="AZ111" s="22">
        <f t="shared" si="94"/>
        <v>0</v>
      </c>
      <c r="BA111" s="22">
        <f t="shared" si="94"/>
        <v>0</v>
      </c>
      <c r="BB111" s="22">
        <f t="shared" si="94"/>
        <v>0</v>
      </c>
      <c r="BC111" s="22">
        <f t="shared" si="94"/>
        <v>0</v>
      </c>
      <c r="BD111" s="22">
        <f t="shared" si="94"/>
        <v>0</v>
      </c>
      <c r="BE111" s="22">
        <f t="shared" si="94"/>
        <v>0</v>
      </c>
      <c r="BF111" s="22">
        <f t="shared" si="94"/>
        <v>0</v>
      </c>
      <c r="BG111" s="22">
        <f t="shared" si="94"/>
        <v>0</v>
      </c>
      <c r="BH111" s="22">
        <f t="shared" si="94"/>
        <v>0</v>
      </c>
      <c r="BI111" s="22">
        <f t="shared" si="94"/>
        <v>0</v>
      </c>
      <c r="BJ111" s="22">
        <f t="shared" si="94"/>
        <v>0</v>
      </c>
      <c r="BK111" s="22">
        <f t="shared" si="94"/>
        <v>0</v>
      </c>
      <c r="BL111" s="22">
        <f t="shared" si="94"/>
        <v>0</v>
      </c>
      <c r="BM111" s="22">
        <f t="shared" si="94"/>
        <v>0</v>
      </c>
      <c r="BN111" s="22">
        <f t="shared" si="94"/>
        <v>0</v>
      </c>
      <c r="BO111" s="22">
        <f t="shared" si="95"/>
        <v>0</v>
      </c>
      <c r="BP111" s="22">
        <f t="shared" si="95"/>
        <v>0</v>
      </c>
      <c r="BQ111" s="22">
        <f t="shared" si="95"/>
        <v>0</v>
      </c>
      <c r="BR111" s="22">
        <f t="shared" si="95"/>
        <v>0</v>
      </c>
      <c r="BS111" s="22">
        <f t="shared" si="95"/>
        <v>0</v>
      </c>
      <c r="BT111" s="23" t="e">
        <f t="shared" si="66"/>
        <v>#DIV/0!</v>
      </c>
      <c r="BU111" s="22">
        <f t="shared" si="96"/>
        <v>0</v>
      </c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3" t="e">
        <f t="shared" si="58"/>
        <v>#DIV/0!</v>
      </c>
      <c r="CQ111" s="22">
        <f t="shared" si="97"/>
        <v>0</v>
      </c>
      <c r="CR111" s="22">
        <f t="shared" si="101"/>
        <v>0</v>
      </c>
      <c r="CS111" s="22">
        <f t="shared" si="98"/>
        <v>0</v>
      </c>
      <c r="CT111" s="22">
        <f t="shared" si="98"/>
        <v>0</v>
      </c>
      <c r="CU111" s="22">
        <f t="shared" si="98"/>
        <v>0</v>
      </c>
      <c r="CV111" s="22">
        <f t="shared" si="98"/>
        <v>0</v>
      </c>
      <c r="CW111" s="22">
        <f t="shared" si="98"/>
        <v>0</v>
      </c>
      <c r="CX111" s="22">
        <f t="shared" si="98"/>
        <v>0</v>
      </c>
      <c r="CY111" s="22">
        <f t="shared" si="98"/>
        <v>0</v>
      </c>
      <c r="CZ111" s="22">
        <f t="shared" si="98"/>
        <v>0</v>
      </c>
      <c r="DA111" s="22">
        <f t="shared" si="98"/>
        <v>0</v>
      </c>
      <c r="DB111" s="22">
        <f t="shared" si="98"/>
        <v>0</v>
      </c>
      <c r="DC111" s="22">
        <f t="shared" si="98"/>
        <v>0</v>
      </c>
      <c r="DD111" s="22">
        <f t="shared" si="98"/>
        <v>0</v>
      </c>
      <c r="DE111" s="22">
        <f t="shared" si="98"/>
        <v>0</v>
      </c>
      <c r="DF111" s="22">
        <f t="shared" si="98"/>
        <v>0</v>
      </c>
      <c r="DG111" s="22">
        <f t="shared" si="98"/>
        <v>0</v>
      </c>
      <c r="DH111" s="22">
        <f t="shared" si="98"/>
        <v>0</v>
      </c>
      <c r="DI111" s="22">
        <f t="shared" si="99"/>
        <v>0</v>
      </c>
      <c r="DJ111" s="22">
        <f t="shared" si="99"/>
        <v>0</v>
      </c>
      <c r="DK111" s="22">
        <f t="shared" si="99"/>
        <v>0</v>
      </c>
      <c r="DM111" s="26">
        <f t="shared" si="83"/>
        <v>0</v>
      </c>
      <c r="DN111" s="26">
        <f t="shared" si="84"/>
        <v>0</v>
      </c>
      <c r="DO111" s="26">
        <f t="shared" si="85"/>
        <v>0</v>
      </c>
    </row>
    <row r="112" spans="1:119" ht="39" customHeight="1" x14ac:dyDescent="0.25">
      <c r="A112" s="192"/>
      <c r="B112" s="59" t="s">
        <v>346</v>
      </c>
      <c r="C112" s="53" t="s">
        <v>347</v>
      </c>
      <c r="D112" s="19" t="s">
        <v>348</v>
      </c>
      <c r="E112" s="83">
        <v>510</v>
      </c>
      <c r="F112" s="21" t="s">
        <v>349</v>
      </c>
      <c r="G112" s="22">
        <f t="shared" si="91"/>
        <v>50000000</v>
      </c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>
        <v>50000000</v>
      </c>
      <c r="W112" s="22"/>
      <c r="X112" s="22"/>
      <c r="Y112" s="22"/>
      <c r="Z112" s="22"/>
      <c r="AA112" s="22"/>
      <c r="AB112" s="23">
        <f t="shared" si="63"/>
        <v>1</v>
      </c>
      <c r="AC112" s="22">
        <f t="shared" si="92"/>
        <v>50000000</v>
      </c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>
        <f>+'[7]FEBRERO 2017'!$X$861</f>
        <v>50000000</v>
      </c>
      <c r="AS112" s="22"/>
      <c r="AT112" s="22"/>
      <c r="AU112" s="22"/>
      <c r="AV112" s="22"/>
      <c r="AW112" s="22"/>
      <c r="AX112" s="23">
        <f t="shared" si="64"/>
        <v>0</v>
      </c>
      <c r="AY112" s="22">
        <f t="shared" si="93"/>
        <v>0</v>
      </c>
      <c r="AZ112" s="22">
        <f t="shared" si="94"/>
        <v>0</v>
      </c>
      <c r="BA112" s="22">
        <f t="shared" si="94"/>
        <v>0</v>
      </c>
      <c r="BB112" s="22">
        <f t="shared" si="94"/>
        <v>0</v>
      </c>
      <c r="BC112" s="22">
        <f t="shared" si="94"/>
        <v>0</v>
      </c>
      <c r="BD112" s="22">
        <f t="shared" si="94"/>
        <v>0</v>
      </c>
      <c r="BE112" s="22">
        <f t="shared" si="94"/>
        <v>0</v>
      </c>
      <c r="BF112" s="22">
        <f t="shared" si="94"/>
        <v>0</v>
      </c>
      <c r="BG112" s="22">
        <f t="shared" si="94"/>
        <v>0</v>
      </c>
      <c r="BH112" s="22">
        <f t="shared" si="94"/>
        <v>0</v>
      </c>
      <c r="BI112" s="22">
        <f t="shared" si="94"/>
        <v>0</v>
      </c>
      <c r="BJ112" s="22">
        <f t="shared" si="94"/>
        <v>0</v>
      </c>
      <c r="BK112" s="22">
        <f t="shared" si="94"/>
        <v>0</v>
      </c>
      <c r="BL112" s="22">
        <f t="shared" si="94"/>
        <v>0</v>
      </c>
      <c r="BM112" s="22">
        <f t="shared" si="94"/>
        <v>0</v>
      </c>
      <c r="BN112" s="22">
        <f t="shared" ref="AZ112:BN113" si="102">V112-AR112</f>
        <v>0</v>
      </c>
      <c r="BO112" s="22">
        <f t="shared" si="95"/>
        <v>0</v>
      </c>
      <c r="BP112" s="22">
        <f t="shared" si="95"/>
        <v>0</v>
      </c>
      <c r="BQ112" s="22">
        <f t="shared" si="95"/>
        <v>0</v>
      </c>
      <c r="BR112" s="22">
        <f t="shared" si="95"/>
        <v>0</v>
      </c>
      <c r="BS112" s="22">
        <f t="shared" si="95"/>
        <v>0</v>
      </c>
      <c r="BT112" s="23">
        <f t="shared" si="66"/>
        <v>1</v>
      </c>
      <c r="BU112" s="22">
        <f t="shared" si="96"/>
        <v>50000000</v>
      </c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>
        <f>+'[2]FEBRERO 2017'!$H$1029</f>
        <v>50000000</v>
      </c>
      <c r="CK112" s="22"/>
      <c r="CL112" s="22"/>
      <c r="CM112" s="22"/>
      <c r="CN112" s="22"/>
      <c r="CO112" s="22"/>
      <c r="CP112" s="23">
        <f t="shared" si="58"/>
        <v>0</v>
      </c>
      <c r="CQ112" s="22">
        <f t="shared" si="97"/>
        <v>0</v>
      </c>
      <c r="CR112" s="22">
        <f t="shared" si="101"/>
        <v>0</v>
      </c>
      <c r="CS112" s="22">
        <f t="shared" si="98"/>
        <v>0</v>
      </c>
      <c r="CT112" s="22">
        <f t="shared" si="98"/>
        <v>0</v>
      </c>
      <c r="CU112" s="22">
        <f t="shared" si="98"/>
        <v>0</v>
      </c>
      <c r="CV112" s="22">
        <f t="shared" si="98"/>
        <v>0</v>
      </c>
      <c r="CW112" s="22">
        <f t="shared" si="98"/>
        <v>0</v>
      </c>
      <c r="CX112" s="22">
        <f t="shared" si="98"/>
        <v>0</v>
      </c>
      <c r="CY112" s="22">
        <f t="shared" si="98"/>
        <v>0</v>
      </c>
      <c r="CZ112" s="22">
        <f t="shared" si="98"/>
        <v>0</v>
      </c>
      <c r="DA112" s="22">
        <f t="shared" si="98"/>
        <v>0</v>
      </c>
      <c r="DB112" s="22">
        <f t="shared" si="98"/>
        <v>0</v>
      </c>
      <c r="DC112" s="22">
        <f t="shared" si="98"/>
        <v>0</v>
      </c>
      <c r="DD112" s="22">
        <f t="shared" si="98"/>
        <v>0</v>
      </c>
      <c r="DE112" s="22">
        <f t="shared" si="98"/>
        <v>0</v>
      </c>
      <c r="DF112" s="22">
        <f t="shared" si="98"/>
        <v>0</v>
      </c>
      <c r="DG112" s="22">
        <f t="shared" ref="CS112:DH113" si="103">W112-CK112</f>
        <v>0</v>
      </c>
      <c r="DH112" s="22">
        <f t="shared" si="103"/>
        <v>0</v>
      </c>
      <c r="DI112" s="22">
        <f t="shared" si="99"/>
        <v>0</v>
      </c>
      <c r="DJ112" s="22">
        <f t="shared" si="99"/>
        <v>0</v>
      </c>
      <c r="DK112" s="22">
        <f t="shared" si="99"/>
        <v>0</v>
      </c>
      <c r="DM112" s="26">
        <f t="shared" si="83"/>
        <v>50000000</v>
      </c>
      <c r="DN112" s="26">
        <f t="shared" si="84"/>
        <v>50000000</v>
      </c>
      <c r="DO112" s="26">
        <f t="shared" si="85"/>
        <v>50000000</v>
      </c>
    </row>
    <row r="113" spans="1:120" ht="54" customHeight="1" x14ac:dyDescent="0.25">
      <c r="A113" s="196"/>
      <c r="B113" s="59" t="s">
        <v>350</v>
      </c>
      <c r="C113" s="53" t="s">
        <v>351</v>
      </c>
      <c r="D113" s="19" t="s">
        <v>352</v>
      </c>
      <c r="E113" s="83">
        <v>310</v>
      </c>
      <c r="F113" s="21" t="s">
        <v>353</v>
      </c>
      <c r="G113" s="22">
        <f t="shared" si="91"/>
        <v>215500000</v>
      </c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>
        <v>200000000</v>
      </c>
      <c r="W113" s="22"/>
      <c r="X113" s="22"/>
      <c r="Y113" s="22"/>
      <c r="Z113" s="22"/>
      <c r="AA113" s="22">
        <f>17000000+1500000+5000000-8000000</f>
        <v>15500000</v>
      </c>
      <c r="AB113" s="23">
        <f t="shared" si="63"/>
        <v>0.93659351740139207</v>
      </c>
      <c r="AC113" s="22">
        <f t="shared" si="92"/>
        <v>201835903</v>
      </c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>
        <f>+'[6]JULIO 2017'!$X$434</f>
        <v>200000000</v>
      </c>
      <c r="AS113" s="22"/>
      <c r="AT113" s="22"/>
      <c r="AU113" s="22"/>
      <c r="AV113" s="22"/>
      <c r="AW113" s="22">
        <f>+'[5]AGOSTO 2017'!$AC$534</f>
        <v>1835903</v>
      </c>
      <c r="AX113" s="23">
        <f t="shared" si="64"/>
        <v>6.3406482598607927E-2</v>
      </c>
      <c r="AY113" s="22">
        <f t="shared" si="93"/>
        <v>13664097</v>
      </c>
      <c r="AZ113" s="22">
        <f t="shared" si="102"/>
        <v>0</v>
      </c>
      <c r="BA113" s="22">
        <f t="shared" si="102"/>
        <v>0</v>
      </c>
      <c r="BB113" s="22">
        <f t="shared" si="102"/>
        <v>0</v>
      </c>
      <c r="BC113" s="22">
        <f t="shared" si="102"/>
        <v>0</v>
      </c>
      <c r="BD113" s="22">
        <f t="shared" si="102"/>
        <v>0</v>
      </c>
      <c r="BE113" s="22">
        <f t="shared" si="102"/>
        <v>0</v>
      </c>
      <c r="BF113" s="22">
        <f t="shared" si="102"/>
        <v>0</v>
      </c>
      <c r="BG113" s="22">
        <f t="shared" si="102"/>
        <v>0</v>
      </c>
      <c r="BH113" s="22">
        <f t="shared" si="102"/>
        <v>0</v>
      </c>
      <c r="BI113" s="22">
        <f t="shared" si="102"/>
        <v>0</v>
      </c>
      <c r="BJ113" s="22">
        <f t="shared" si="102"/>
        <v>0</v>
      </c>
      <c r="BK113" s="22">
        <f t="shared" si="102"/>
        <v>0</v>
      </c>
      <c r="BL113" s="22">
        <f t="shared" si="102"/>
        <v>0</v>
      </c>
      <c r="BM113" s="22">
        <f t="shared" si="102"/>
        <v>0</v>
      </c>
      <c r="BN113" s="22">
        <f t="shared" si="102"/>
        <v>0</v>
      </c>
      <c r="BO113" s="22">
        <f t="shared" si="95"/>
        <v>0</v>
      </c>
      <c r="BP113" s="22">
        <f t="shared" si="95"/>
        <v>0</v>
      </c>
      <c r="BQ113" s="22">
        <f t="shared" si="95"/>
        <v>0</v>
      </c>
      <c r="BR113" s="22">
        <f t="shared" si="95"/>
        <v>0</v>
      </c>
      <c r="BS113" s="22">
        <f t="shared" si="95"/>
        <v>13664097</v>
      </c>
      <c r="BT113" s="23">
        <f t="shared" si="66"/>
        <v>0.68522258468677499</v>
      </c>
      <c r="BU113" s="22">
        <f t="shared" si="96"/>
        <v>147665467</v>
      </c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>
        <f>+'[5]AGOSTO 2017'!$H$532-CO113</f>
        <v>145829564</v>
      </c>
      <c r="CK113" s="22"/>
      <c r="CL113" s="22"/>
      <c r="CM113" s="22"/>
      <c r="CN113" s="22"/>
      <c r="CO113" s="22">
        <f>+'[5]AGOSTO 2017'!$H$620+'[5]AGOSTO 2017'!$H$621</f>
        <v>1835903</v>
      </c>
      <c r="CP113" s="23">
        <f t="shared" si="58"/>
        <v>0.31477741531322501</v>
      </c>
      <c r="CQ113" s="22">
        <f t="shared" si="97"/>
        <v>67834533</v>
      </c>
      <c r="CR113" s="22">
        <f t="shared" si="101"/>
        <v>0</v>
      </c>
      <c r="CS113" s="22">
        <f t="shared" si="103"/>
        <v>0</v>
      </c>
      <c r="CT113" s="22">
        <f t="shared" si="103"/>
        <v>0</v>
      </c>
      <c r="CU113" s="22">
        <f t="shared" si="103"/>
        <v>0</v>
      </c>
      <c r="CV113" s="22">
        <f t="shared" si="103"/>
        <v>0</v>
      </c>
      <c r="CW113" s="22">
        <f t="shared" si="103"/>
        <v>0</v>
      </c>
      <c r="CX113" s="22">
        <f t="shared" si="103"/>
        <v>0</v>
      </c>
      <c r="CY113" s="22">
        <f t="shared" si="103"/>
        <v>0</v>
      </c>
      <c r="CZ113" s="22">
        <f t="shared" si="103"/>
        <v>0</v>
      </c>
      <c r="DA113" s="22">
        <f t="shared" si="103"/>
        <v>0</v>
      </c>
      <c r="DB113" s="22">
        <f t="shared" si="103"/>
        <v>0</v>
      </c>
      <c r="DC113" s="22">
        <f t="shared" si="103"/>
        <v>0</v>
      </c>
      <c r="DD113" s="22">
        <f t="shared" si="103"/>
        <v>0</v>
      </c>
      <c r="DE113" s="22">
        <f t="shared" si="103"/>
        <v>0</v>
      </c>
      <c r="DF113" s="22">
        <f t="shared" si="103"/>
        <v>54170436</v>
      </c>
      <c r="DG113" s="22">
        <f t="shared" si="103"/>
        <v>0</v>
      </c>
      <c r="DH113" s="22">
        <f t="shared" si="103"/>
        <v>0</v>
      </c>
      <c r="DI113" s="22">
        <f t="shared" si="99"/>
        <v>0</v>
      </c>
      <c r="DJ113" s="22">
        <f t="shared" si="99"/>
        <v>0</v>
      </c>
      <c r="DK113" s="22">
        <f t="shared" si="99"/>
        <v>13664097</v>
      </c>
      <c r="DM113" s="26">
        <f t="shared" si="83"/>
        <v>215500000</v>
      </c>
      <c r="DN113" s="26">
        <f t="shared" si="84"/>
        <v>215500000</v>
      </c>
      <c r="DO113" s="26">
        <f t="shared" si="85"/>
        <v>215500000</v>
      </c>
    </row>
    <row r="114" spans="1:120" s="47" customFormat="1" ht="26.25" customHeight="1" thickBot="1" x14ac:dyDescent="0.3">
      <c r="A114" s="85"/>
      <c r="B114" s="210" t="s">
        <v>354</v>
      </c>
      <c r="C114" s="211"/>
      <c r="D114" s="212"/>
      <c r="E114" s="86"/>
      <c r="F114" s="87"/>
      <c r="G114" s="62">
        <f t="shared" ref="G114:AA114" si="104">SUM(G95:G113)</f>
        <v>7370293649</v>
      </c>
      <c r="H114" s="62">
        <f t="shared" si="104"/>
        <v>181434097</v>
      </c>
      <c r="I114" s="62">
        <f t="shared" si="104"/>
        <v>392954283</v>
      </c>
      <c r="J114" s="62">
        <f t="shared" si="104"/>
        <v>1150000000</v>
      </c>
      <c r="K114" s="62">
        <f t="shared" si="104"/>
        <v>1481402260</v>
      </c>
      <c r="L114" s="62">
        <f t="shared" si="104"/>
        <v>80883013</v>
      </c>
      <c r="M114" s="62">
        <f t="shared" si="104"/>
        <v>210796645</v>
      </c>
      <c r="N114" s="62">
        <f t="shared" si="104"/>
        <v>12004716</v>
      </c>
      <c r="O114" s="62">
        <f t="shared" si="104"/>
        <v>6840985</v>
      </c>
      <c r="P114" s="62">
        <f t="shared" si="104"/>
        <v>30665828</v>
      </c>
      <c r="Q114" s="62">
        <f t="shared" si="104"/>
        <v>1940856</v>
      </c>
      <c r="R114" s="62">
        <f t="shared" si="104"/>
        <v>135153822</v>
      </c>
      <c r="S114" s="62">
        <f t="shared" si="104"/>
        <v>0</v>
      </c>
      <c r="T114" s="62">
        <f t="shared" si="104"/>
        <v>300000000</v>
      </c>
      <c r="U114" s="62">
        <f t="shared" si="104"/>
        <v>575407003</v>
      </c>
      <c r="V114" s="62">
        <f t="shared" si="104"/>
        <v>1012993410</v>
      </c>
      <c r="W114" s="62">
        <f t="shared" si="104"/>
        <v>0</v>
      </c>
      <c r="X114" s="62">
        <f t="shared" si="104"/>
        <v>0</v>
      </c>
      <c r="Y114" s="62">
        <f t="shared" si="104"/>
        <v>667371659</v>
      </c>
      <c r="Z114" s="62">
        <f t="shared" si="104"/>
        <v>33084973</v>
      </c>
      <c r="AA114" s="62">
        <f t="shared" si="104"/>
        <v>1097360099</v>
      </c>
      <c r="AB114" s="44">
        <f t="shared" si="63"/>
        <v>0.82212170946840379</v>
      </c>
      <c r="AC114" s="62">
        <f t="shared" ref="AC114:AW114" si="105">SUM(AC95:AC113)</f>
        <v>6059278414</v>
      </c>
      <c r="AD114" s="62">
        <f t="shared" si="105"/>
        <v>181434097</v>
      </c>
      <c r="AE114" s="62">
        <f t="shared" si="105"/>
        <v>367409930</v>
      </c>
      <c r="AF114" s="62">
        <f t="shared" si="105"/>
        <v>906975308</v>
      </c>
      <c r="AG114" s="62">
        <f>SUM(AG95:AG113)</f>
        <v>1442649906</v>
      </c>
      <c r="AH114" s="62">
        <f t="shared" si="105"/>
        <v>80883013</v>
      </c>
      <c r="AI114" s="62">
        <f t="shared" si="105"/>
        <v>11416500</v>
      </c>
      <c r="AJ114" s="62">
        <f t="shared" si="105"/>
        <v>12004716</v>
      </c>
      <c r="AK114" s="62">
        <f t="shared" si="105"/>
        <v>6840985</v>
      </c>
      <c r="AL114" s="62">
        <f t="shared" si="105"/>
        <v>30665828</v>
      </c>
      <c r="AM114" s="62">
        <f t="shared" si="105"/>
        <v>0</v>
      </c>
      <c r="AN114" s="62">
        <f t="shared" si="105"/>
        <v>135153822</v>
      </c>
      <c r="AO114" s="62">
        <f t="shared" si="105"/>
        <v>0</v>
      </c>
      <c r="AP114" s="62">
        <f t="shared" si="105"/>
        <v>149455530</v>
      </c>
      <c r="AQ114" s="62">
        <f t="shared" si="105"/>
        <v>533407003</v>
      </c>
      <c r="AR114" s="62">
        <f t="shared" si="105"/>
        <v>915593059</v>
      </c>
      <c r="AS114" s="62">
        <f t="shared" si="105"/>
        <v>0</v>
      </c>
      <c r="AT114" s="62">
        <f t="shared" si="105"/>
        <v>0</v>
      </c>
      <c r="AU114" s="62">
        <f t="shared" si="105"/>
        <v>667371659</v>
      </c>
      <c r="AV114" s="62">
        <f t="shared" si="105"/>
        <v>33084973</v>
      </c>
      <c r="AW114" s="62">
        <f t="shared" si="105"/>
        <v>584932085</v>
      </c>
      <c r="AX114" s="44">
        <f t="shared" si="64"/>
        <v>0.17787829053159621</v>
      </c>
      <c r="AY114" s="62">
        <f t="shared" ref="AY114:BS114" si="106">SUM(AY95:AY113)</f>
        <v>1311015235</v>
      </c>
      <c r="AZ114" s="62">
        <f t="shared" si="106"/>
        <v>0</v>
      </c>
      <c r="BA114" s="62">
        <f t="shared" si="106"/>
        <v>25544353</v>
      </c>
      <c r="BB114" s="62">
        <f t="shared" si="106"/>
        <v>243024692</v>
      </c>
      <c r="BC114" s="62">
        <f t="shared" si="106"/>
        <v>38752354</v>
      </c>
      <c r="BD114" s="62">
        <f t="shared" si="106"/>
        <v>0</v>
      </c>
      <c r="BE114" s="62">
        <f t="shared" si="106"/>
        <v>199380145</v>
      </c>
      <c r="BF114" s="62">
        <f t="shared" si="106"/>
        <v>0</v>
      </c>
      <c r="BG114" s="62">
        <f t="shared" si="106"/>
        <v>0</v>
      </c>
      <c r="BH114" s="62">
        <f t="shared" si="106"/>
        <v>0</v>
      </c>
      <c r="BI114" s="62">
        <f t="shared" si="106"/>
        <v>1940856</v>
      </c>
      <c r="BJ114" s="62">
        <f t="shared" si="106"/>
        <v>0</v>
      </c>
      <c r="BK114" s="62">
        <f t="shared" si="106"/>
        <v>0</v>
      </c>
      <c r="BL114" s="62">
        <f t="shared" si="106"/>
        <v>150544470</v>
      </c>
      <c r="BM114" s="62">
        <f t="shared" si="106"/>
        <v>42000000</v>
      </c>
      <c r="BN114" s="62">
        <f t="shared" si="106"/>
        <v>97400351</v>
      </c>
      <c r="BO114" s="62">
        <f t="shared" si="106"/>
        <v>0</v>
      </c>
      <c r="BP114" s="62">
        <f t="shared" si="106"/>
        <v>0</v>
      </c>
      <c r="BQ114" s="62">
        <f t="shared" si="106"/>
        <v>0</v>
      </c>
      <c r="BR114" s="62">
        <f t="shared" si="106"/>
        <v>0</v>
      </c>
      <c r="BS114" s="62">
        <f t="shared" si="106"/>
        <v>512428014</v>
      </c>
      <c r="BT114" s="44">
        <f t="shared" si="66"/>
        <v>0.54957805168991847</v>
      </c>
      <c r="BU114" s="62">
        <f t="shared" ref="BU114:CK114" si="107">SUM(BU95:BU113)</f>
        <v>4050551624</v>
      </c>
      <c r="BV114" s="62">
        <f t="shared" si="107"/>
        <v>0</v>
      </c>
      <c r="BW114" s="62">
        <f t="shared" si="107"/>
        <v>366965147</v>
      </c>
      <c r="BX114" s="62">
        <f t="shared" si="107"/>
        <v>670935199</v>
      </c>
      <c r="BY114" s="62">
        <f t="shared" si="107"/>
        <v>772017818</v>
      </c>
      <c r="BZ114" s="62">
        <f t="shared" si="107"/>
        <v>7736670</v>
      </c>
      <c r="CA114" s="62">
        <f t="shared" si="107"/>
        <v>11416500</v>
      </c>
      <c r="CB114" s="62">
        <f t="shared" si="107"/>
        <v>12004716</v>
      </c>
      <c r="CC114" s="62">
        <f t="shared" si="107"/>
        <v>6840985</v>
      </c>
      <c r="CD114" s="62">
        <f t="shared" si="107"/>
        <v>30665828</v>
      </c>
      <c r="CE114" s="62">
        <f t="shared" si="107"/>
        <v>0</v>
      </c>
      <c r="CF114" s="62">
        <f t="shared" si="107"/>
        <v>10153894</v>
      </c>
      <c r="CG114" s="62">
        <f t="shared" si="107"/>
        <v>0</v>
      </c>
      <c r="CH114" s="62">
        <f t="shared" si="107"/>
        <v>149455530</v>
      </c>
      <c r="CI114" s="62">
        <f t="shared" si="107"/>
        <v>141978128</v>
      </c>
      <c r="CJ114" s="62">
        <f t="shared" si="107"/>
        <v>853168889</v>
      </c>
      <c r="CK114" s="62">
        <f t="shared" si="107"/>
        <v>0</v>
      </c>
      <c r="CL114" s="62"/>
      <c r="CM114" s="62">
        <f>SUM(CM95:CM113)</f>
        <v>591018660</v>
      </c>
      <c r="CN114" s="62">
        <f>SUM(CN95:CN113)</f>
        <v>32833600</v>
      </c>
      <c r="CO114" s="62">
        <f>SUM(CO95:CO113)</f>
        <v>393360060</v>
      </c>
      <c r="CP114" s="44">
        <f t="shared" si="58"/>
        <v>0.45042194831008153</v>
      </c>
      <c r="CQ114" s="62">
        <f t="shared" ref="CQ114:DK114" si="108">SUM(CQ95:CQ113)</f>
        <v>3319742025</v>
      </c>
      <c r="CR114" s="62">
        <f t="shared" si="108"/>
        <v>181434097</v>
      </c>
      <c r="CS114" s="62">
        <f t="shared" si="108"/>
        <v>25989136</v>
      </c>
      <c r="CT114" s="62">
        <f t="shared" si="108"/>
        <v>479064801</v>
      </c>
      <c r="CU114" s="62">
        <f t="shared" si="108"/>
        <v>709384442</v>
      </c>
      <c r="CV114" s="62">
        <f t="shared" si="108"/>
        <v>73146343</v>
      </c>
      <c r="CW114" s="62">
        <f t="shared" si="108"/>
        <v>199380145</v>
      </c>
      <c r="CX114" s="62">
        <f t="shared" si="108"/>
        <v>0</v>
      </c>
      <c r="CY114" s="62">
        <f t="shared" si="108"/>
        <v>0</v>
      </c>
      <c r="CZ114" s="62">
        <f t="shared" si="108"/>
        <v>0</v>
      </c>
      <c r="DA114" s="62">
        <f t="shared" si="108"/>
        <v>1940856</v>
      </c>
      <c r="DB114" s="62">
        <f t="shared" si="108"/>
        <v>124999928</v>
      </c>
      <c r="DC114" s="62">
        <f t="shared" si="108"/>
        <v>0</v>
      </c>
      <c r="DD114" s="62">
        <f t="shared" si="108"/>
        <v>150544470</v>
      </c>
      <c r="DE114" s="62">
        <f t="shared" si="108"/>
        <v>433428875</v>
      </c>
      <c r="DF114" s="62">
        <f t="shared" si="108"/>
        <v>159824521</v>
      </c>
      <c r="DG114" s="62">
        <f t="shared" si="108"/>
        <v>0</v>
      </c>
      <c r="DH114" s="62">
        <f t="shared" si="108"/>
        <v>0</v>
      </c>
      <c r="DI114" s="62">
        <f t="shared" si="108"/>
        <v>76352999</v>
      </c>
      <c r="DJ114" s="62">
        <f t="shared" si="108"/>
        <v>251373</v>
      </c>
      <c r="DK114" s="62">
        <f t="shared" si="108"/>
        <v>704000039</v>
      </c>
      <c r="DM114" s="26">
        <f t="shared" si="83"/>
        <v>7370293649</v>
      </c>
      <c r="DN114" s="26">
        <f t="shared" si="84"/>
        <v>7370293649</v>
      </c>
      <c r="DO114" s="26">
        <f t="shared" si="85"/>
        <v>7370293649</v>
      </c>
      <c r="DP114" s="88"/>
    </row>
    <row r="115" spans="1:120" ht="5.25" customHeight="1" thickTop="1" x14ac:dyDescent="0.25">
      <c r="C115" s="89"/>
      <c r="D115" s="89"/>
      <c r="E115" s="89"/>
      <c r="F115" s="89"/>
      <c r="G115" s="90"/>
      <c r="H115" s="90"/>
      <c r="I115" s="91"/>
      <c r="J115" s="90"/>
      <c r="K115" s="90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  <c r="AA115" s="92"/>
      <c r="AB115" s="93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1"/>
      <c r="AU115" s="51"/>
      <c r="AV115" s="51"/>
      <c r="AW115" s="51"/>
      <c r="AX115" s="93"/>
      <c r="AY115" s="51"/>
      <c r="AZ115" s="51"/>
      <c r="BA115" s="51"/>
      <c r="BB115" s="51"/>
      <c r="BC115" s="51"/>
      <c r="BD115" s="51"/>
      <c r="BE115" s="51"/>
      <c r="BF115" s="51"/>
      <c r="BG115" s="51"/>
      <c r="BH115" s="51"/>
      <c r="BI115" s="51"/>
      <c r="BJ115" s="51"/>
      <c r="BK115" s="51"/>
      <c r="BL115" s="51"/>
      <c r="BM115" s="51"/>
      <c r="BN115" s="51"/>
      <c r="BO115" s="51"/>
      <c r="BP115" s="51"/>
      <c r="BQ115" s="51"/>
      <c r="BR115" s="51"/>
      <c r="BS115" s="51"/>
      <c r="BT115" s="93"/>
      <c r="BU115" s="94"/>
      <c r="BV115" s="51"/>
      <c r="BW115" s="51"/>
      <c r="BX115" s="51"/>
      <c r="BY115" s="51"/>
      <c r="BZ115" s="51"/>
      <c r="CA115" s="51"/>
      <c r="CB115" s="51"/>
      <c r="CC115" s="51"/>
      <c r="CD115" s="51"/>
      <c r="CE115" s="51"/>
      <c r="CF115" s="51"/>
      <c r="CG115" s="51"/>
      <c r="CH115" s="51"/>
      <c r="CI115" s="51"/>
      <c r="CJ115" s="51"/>
      <c r="CK115" s="51"/>
      <c r="CL115" s="51"/>
      <c r="CM115" s="51"/>
      <c r="CN115" s="51"/>
      <c r="CO115" s="51"/>
      <c r="CP115" s="93"/>
      <c r="CQ115" s="51"/>
      <c r="CR115" s="51"/>
      <c r="CS115" s="51"/>
      <c r="CT115" s="51"/>
      <c r="CU115" s="51"/>
      <c r="CV115" s="51"/>
      <c r="CW115" s="51"/>
      <c r="CX115" s="51"/>
      <c r="CY115" s="51"/>
      <c r="CZ115" s="51"/>
      <c r="DA115" s="51"/>
      <c r="DB115" s="51"/>
      <c r="DC115" s="51"/>
      <c r="DD115" s="51"/>
      <c r="DE115" s="51"/>
      <c r="DF115" s="51"/>
      <c r="DG115" s="51"/>
      <c r="DH115" s="51"/>
      <c r="DI115" s="51"/>
      <c r="DJ115" s="51"/>
      <c r="DK115" s="51"/>
      <c r="DM115" s="26"/>
      <c r="DN115" s="26"/>
      <c r="DO115" s="26"/>
    </row>
    <row r="116" spans="1:120" ht="19.5" customHeight="1" x14ac:dyDescent="0.25">
      <c r="C116" s="213" t="s">
        <v>355</v>
      </c>
      <c r="D116" s="214"/>
      <c r="E116" s="215"/>
      <c r="F116" s="95"/>
      <c r="G116" s="51">
        <f t="shared" ref="G116:AA116" si="109">G24+G57+G79+G94+G114</f>
        <v>22024860201</v>
      </c>
      <c r="H116" s="51">
        <f t="shared" si="109"/>
        <v>459174006</v>
      </c>
      <c r="I116" s="51">
        <f t="shared" si="109"/>
        <v>2798954283</v>
      </c>
      <c r="J116" s="51">
        <f t="shared" si="109"/>
        <v>4000000000</v>
      </c>
      <c r="K116" s="51">
        <f t="shared" si="109"/>
        <v>2000547872</v>
      </c>
      <c r="L116" s="51">
        <f t="shared" si="109"/>
        <v>80883013</v>
      </c>
      <c r="M116" s="51">
        <f t="shared" si="109"/>
        <v>210796645</v>
      </c>
      <c r="N116" s="51">
        <f t="shared" si="109"/>
        <v>12004716</v>
      </c>
      <c r="O116" s="51">
        <f t="shared" si="109"/>
        <v>6840985</v>
      </c>
      <c r="P116" s="51">
        <f t="shared" si="109"/>
        <v>30665828</v>
      </c>
      <c r="Q116" s="51">
        <f t="shared" si="109"/>
        <v>1940856</v>
      </c>
      <c r="R116" s="51">
        <f t="shared" si="109"/>
        <v>135153822</v>
      </c>
      <c r="S116" s="51">
        <f t="shared" si="109"/>
        <v>4178203008</v>
      </c>
      <c r="T116" s="51">
        <f t="shared" si="109"/>
        <v>530450000</v>
      </c>
      <c r="U116" s="51">
        <f t="shared" si="109"/>
        <v>1071441613</v>
      </c>
      <c r="V116" s="51">
        <f t="shared" si="109"/>
        <v>1800354141</v>
      </c>
      <c r="W116" s="51">
        <f t="shared" si="109"/>
        <v>1570638184</v>
      </c>
      <c r="X116" s="51">
        <f t="shared" si="109"/>
        <v>119946741</v>
      </c>
      <c r="Y116" s="51">
        <f t="shared" si="109"/>
        <v>667371659</v>
      </c>
      <c r="Z116" s="51">
        <f t="shared" si="109"/>
        <v>33084973</v>
      </c>
      <c r="AA116" s="51">
        <f t="shared" si="109"/>
        <v>2316407856</v>
      </c>
      <c r="AB116" s="96">
        <f>+AC116/G116</f>
        <v>0.83440347690223238</v>
      </c>
      <c r="AC116" s="51">
        <f t="shared" ref="AC116:AW116" si="110">AC24+AC57+AC79+AC94+AC114</f>
        <v>18377619930</v>
      </c>
      <c r="AD116" s="51">
        <f t="shared" si="110"/>
        <v>443093108</v>
      </c>
      <c r="AE116" s="50">
        <f t="shared" si="110"/>
        <v>2645795199</v>
      </c>
      <c r="AF116" s="50">
        <f t="shared" si="110"/>
        <v>3359245909</v>
      </c>
      <c r="AG116" s="50">
        <f t="shared" si="110"/>
        <v>1886109367</v>
      </c>
      <c r="AH116" s="51">
        <f t="shared" si="110"/>
        <v>80883013</v>
      </c>
      <c r="AI116" s="51">
        <f t="shared" si="110"/>
        <v>11416500</v>
      </c>
      <c r="AJ116" s="51">
        <f t="shared" si="110"/>
        <v>12004716</v>
      </c>
      <c r="AK116" s="51">
        <f t="shared" si="110"/>
        <v>6840985</v>
      </c>
      <c r="AL116" s="51">
        <f t="shared" si="110"/>
        <v>30665828</v>
      </c>
      <c r="AM116" s="51">
        <f t="shared" si="110"/>
        <v>0</v>
      </c>
      <c r="AN116" s="51">
        <f t="shared" si="110"/>
        <v>135153822</v>
      </c>
      <c r="AO116" s="51">
        <f t="shared" si="110"/>
        <v>2951299250</v>
      </c>
      <c r="AP116" s="51">
        <f t="shared" si="110"/>
        <v>325413542</v>
      </c>
      <c r="AQ116" s="51">
        <f t="shared" si="110"/>
        <v>1029441613</v>
      </c>
      <c r="AR116" s="51">
        <f t="shared" si="110"/>
        <v>1565140669</v>
      </c>
      <c r="AS116" s="51">
        <f t="shared" si="110"/>
        <v>1539781663</v>
      </c>
      <c r="AT116" s="51">
        <f t="shared" si="110"/>
        <v>119946741</v>
      </c>
      <c r="AU116" s="51">
        <f t="shared" si="110"/>
        <v>667371659</v>
      </c>
      <c r="AV116" s="51">
        <f t="shared" si="110"/>
        <v>33084973</v>
      </c>
      <c r="AW116" s="51">
        <f t="shared" si="110"/>
        <v>1534931373</v>
      </c>
      <c r="AX116" s="97">
        <f>1-AB116</f>
        <v>0.16559652309776762</v>
      </c>
      <c r="AY116" s="51">
        <f t="shared" ref="AY116:BS116" si="111">AY24+AY57+AY79+AY94+AY114</f>
        <v>3647240271</v>
      </c>
      <c r="AZ116" s="51">
        <f t="shared" si="111"/>
        <v>16080898</v>
      </c>
      <c r="BA116" s="50">
        <f t="shared" si="111"/>
        <v>153159084</v>
      </c>
      <c r="BB116" s="50">
        <f t="shared" si="111"/>
        <v>640754091</v>
      </c>
      <c r="BC116" s="50">
        <f t="shared" si="111"/>
        <v>114438505</v>
      </c>
      <c r="BD116" s="51">
        <f t="shared" si="111"/>
        <v>0</v>
      </c>
      <c r="BE116" s="51">
        <f t="shared" si="111"/>
        <v>199380145</v>
      </c>
      <c r="BF116" s="51">
        <f t="shared" si="111"/>
        <v>0</v>
      </c>
      <c r="BG116" s="51">
        <f t="shared" si="111"/>
        <v>0</v>
      </c>
      <c r="BH116" s="51">
        <f t="shared" si="111"/>
        <v>0</v>
      </c>
      <c r="BI116" s="51">
        <f t="shared" si="111"/>
        <v>1940856</v>
      </c>
      <c r="BJ116" s="51">
        <f t="shared" si="111"/>
        <v>0</v>
      </c>
      <c r="BK116" s="51">
        <f t="shared" si="111"/>
        <v>1226903758</v>
      </c>
      <c r="BL116" s="51">
        <f t="shared" si="111"/>
        <v>205036458</v>
      </c>
      <c r="BM116" s="51">
        <f t="shared" si="111"/>
        <v>42000000</v>
      </c>
      <c r="BN116" s="51">
        <f t="shared" si="111"/>
        <v>235213472</v>
      </c>
      <c r="BO116" s="51">
        <f t="shared" si="111"/>
        <v>30856521</v>
      </c>
      <c r="BP116" s="51">
        <f t="shared" si="111"/>
        <v>0</v>
      </c>
      <c r="BQ116" s="51">
        <f t="shared" si="111"/>
        <v>0</v>
      </c>
      <c r="BR116" s="51">
        <f t="shared" si="111"/>
        <v>0</v>
      </c>
      <c r="BS116" s="51">
        <f t="shared" si="111"/>
        <v>781476483</v>
      </c>
      <c r="BT116" s="97">
        <f>+BU116/G116</f>
        <v>0.65143105754417319</v>
      </c>
      <c r="BU116" s="51">
        <f t="shared" ref="BU116:CO116" si="112">BU24+BU57+BU79+BU94+BU114</f>
        <v>14347677973</v>
      </c>
      <c r="BV116" s="51">
        <f t="shared" si="112"/>
        <v>236554614</v>
      </c>
      <c r="BW116" s="51">
        <f t="shared" si="112"/>
        <v>2391815929</v>
      </c>
      <c r="BX116" s="51">
        <f t="shared" si="112"/>
        <v>2483307200</v>
      </c>
      <c r="BY116" s="51">
        <f t="shared" si="112"/>
        <v>1185985714</v>
      </c>
      <c r="BZ116" s="51">
        <f t="shared" si="112"/>
        <v>7736670</v>
      </c>
      <c r="CA116" s="51">
        <f t="shared" si="112"/>
        <v>11416500</v>
      </c>
      <c r="CB116" s="51">
        <f t="shared" si="112"/>
        <v>12004716</v>
      </c>
      <c r="CC116" s="51">
        <f t="shared" si="112"/>
        <v>6840985</v>
      </c>
      <c r="CD116" s="51">
        <f t="shared" si="112"/>
        <v>30665828</v>
      </c>
      <c r="CE116" s="51">
        <f t="shared" si="112"/>
        <v>0</v>
      </c>
      <c r="CF116" s="51">
        <f t="shared" si="112"/>
        <v>10153894</v>
      </c>
      <c r="CG116" s="51">
        <f t="shared" si="112"/>
        <v>2680257182</v>
      </c>
      <c r="CH116" s="51">
        <f t="shared" si="112"/>
        <v>320470283</v>
      </c>
      <c r="CI116" s="51">
        <f t="shared" si="112"/>
        <v>457243876</v>
      </c>
      <c r="CJ116" s="51">
        <f t="shared" si="112"/>
        <v>1137076957</v>
      </c>
      <c r="CK116" s="51">
        <f t="shared" si="112"/>
        <v>1539700812</v>
      </c>
      <c r="CL116" s="51">
        <f t="shared" si="112"/>
        <v>44864678</v>
      </c>
      <c r="CM116" s="51">
        <f t="shared" si="112"/>
        <v>591018660</v>
      </c>
      <c r="CN116" s="51">
        <f t="shared" si="112"/>
        <v>32833600</v>
      </c>
      <c r="CO116" s="51">
        <f t="shared" si="112"/>
        <v>1167729875</v>
      </c>
      <c r="CP116" s="23">
        <f>1-BT116</f>
        <v>0.34856894245582681</v>
      </c>
      <c r="CQ116" s="51">
        <f t="shared" ref="CQ116:DK116" si="113">CQ24+CQ57+CQ79+CQ94+CQ114</f>
        <v>7677182228</v>
      </c>
      <c r="CR116" s="51">
        <f t="shared" si="113"/>
        <v>222619392</v>
      </c>
      <c r="CS116" s="51">
        <f t="shared" si="113"/>
        <v>407138354</v>
      </c>
      <c r="CT116" s="51">
        <f t="shared" si="113"/>
        <v>1516692800</v>
      </c>
      <c r="CU116" s="51">
        <f t="shared" si="113"/>
        <v>814562158</v>
      </c>
      <c r="CV116" s="51">
        <f t="shared" si="113"/>
        <v>73146343</v>
      </c>
      <c r="CW116" s="51">
        <f t="shared" si="113"/>
        <v>199380145</v>
      </c>
      <c r="CX116" s="51">
        <f t="shared" si="113"/>
        <v>0</v>
      </c>
      <c r="CY116" s="51">
        <f t="shared" si="113"/>
        <v>0</v>
      </c>
      <c r="CZ116" s="51">
        <f t="shared" si="113"/>
        <v>0</v>
      </c>
      <c r="DA116" s="51">
        <f t="shared" si="113"/>
        <v>1940856</v>
      </c>
      <c r="DB116" s="51">
        <f t="shared" si="113"/>
        <v>124999928</v>
      </c>
      <c r="DC116" s="51">
        <f t="shared" si="113"/>
        <v>1497945826</v>
      </c>
      <c r="DD116" s="51">
        <f t="shared" si="113"/>
        <v>209979717</v>
      </c>
      <c r="DE116" s="51">
        <f t="shared" si="113"/>
        <v>614197737</v>
      </c>
      <c r="DF116" s="51">
        <f t="shared" si="113"/>
        <v>663277184</v>
      </c>
      <c r="DG116" s="51">
        <f t="shared" si="113"/>
        <v>30937372</v>
      </c>
      <c r="DH116" s="51">
        <f t="shared" si="113"/>
        <v>75082063</v>
      </c>
      <c r="DI116" s="51">
        <f t="shared" si="113"/>
        <v>76352999</v>
      </c>
      <c r="DJ116" s="51">
        <f t="shared" si="113"/>
        <v>251373</v>
      </c>
      <c r="DK116" s="51">
        <f t="shared" si="113"/>
        <v>1148677981</v>
      </c>
      <c r="DM116" s="26">
        <f>+G116</f>
        <v>22024860201</v>
      </c>
      <c r="DN116" s="26">
        <f>+AC116+AY116</f>
        <v>22024860201</v>
      </c>
      <c r="DO116" s="26">
        <f>+BU116+CQ116</f>
        <v>22024860201</v>
      </c>
    </row>
    <row r="117" spans="1:120" ht="5.25" customHeight="1" x14ac:dyDescent="0.25">
      <c r="C117" s="98"/>
      <c r="D117" s="98"/>
      <c r="E117" s="99"/>
      <c r="F117" s="99"/>
      <c r="G117" s="100"/>
      <c r="H117" s="100"/>
      <c r="I117" s="101"/>
      <c r="J117" s="100"/>
      <c r="K117" s="100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  <c r="AA117" s="102"/>
      <c r="AB117" s="103"/>
      <c r="AC117" s="104"/>
      <c r="AD117" s="104"/>
      <c r="AE117" s="104"/>
      <c r="AF117" s="104"/>
      <c r="AG117" s="104"/>
      <c r="AH117" s="104"/>
      <c r="AI117" s="102"/>
      <c r="AJ117" s="102"/>
      <c r="AK117" s="102"/>
      <c r="AL117" s="102"/>
      <c r="AM117" s="102"/>
      <c r="AN117" s="102"/>
      <c r="AO117" s="102"/>
      <c r="AP117" s="102"/>
      <c r="AQ117" s="102"/>
      <c r="AR117" s="102"/>
      <c r="AS117" s="102"/>
      <c r="AT117" s="102"/>
      <c r="AU117" s="102"/>
      <c r="AV117" s="102"/>
      <c r="AW117" s="102"/>
      <c r="AX117" s="103"/>
      <c r="AY117" s="104"/>
      <c r="AZ117" s="104"/>
      <c r="BA117" s="104"/>
      <c r="BB117" s="104"/>
      <c r="BC117" s="104"/>
      <c r="BD117" s="105"/>
      <c r="BE117" s="105"/>
      <c r="BF117" s="105"/>
      <c r="BG117" s="105"/>
      <c r="BH117" s="105"/>
      <c r="BI117" s="105"/>
      <c r="BJ117" s="105"/>
      <c r="BK117" s="105"/>
      <c r="BL117" s="105"/>
      <c r="BM117" s="105"/>
      <c r="BN117" s="105"/>
      <c r="BO117" s="105"/>
      <c r="BP117" s="105"/>
      <c r="BQ117" s="105"/>
      <c r="BR117" s="105"/>
      <c r="BS117" s="105"/>
      <c r="BT117" s="103"/>
      <c r="BU117" s="106"/>
      <c r="BV117" s="107"/>
      <c r="BW117" s="107"/>
      <c r="BX117" s="107"/>
      <c r="BY117" s="107"/>
      <c r="BZ117" s="102"/>
      <c r="CA117" s="102"/>
      <c r="CB117" s="102"/>
      <c r="CC117" s="102"/>
      <c r="CD117" s="102"/>
      <c r="CE117" s="102"/>
      <c r="CF117" s="102"/>
      <c r="CG117" s="102"/>
      <c r="CH117" s="102"/>
      <c r="CI117" s="102"/>
      <c r="CJ117" s="102"/>
      <c r="CK117" s="102"/>
      <c r="CL117" s="102"/>
      <c r="CM117" s="102"/>
      <c r="CN117" s="102"/>
      <c r="CO117" s="102"/>
      <c r="CP117" s="23"/>
      <c r="CQ117" s="108"/>
      <c r="CR117" s="104"/>
      <c r="CS117" s="104"/>
      <c r="CT117" s="104"/>
      <c r="CU117" s="104"/>
      <c r="CV117" s="105"/>
      <c r="CW117" s="105"/>
      <c r="CX117" s="105"/>
      <c r="CY117" s="105"/>
      <c r="CZ117" s="105"/>
      <c r="DA117" s="105"/>
      <c r="DB117" s="105"/>
      <c r="DC117" s="105"/>
      <c r="DD117" s="105"/>
      <c r="DE117" s="105"/>
      <c r="DF117" s="105"/>
      <c r="DG117" s="105"/>
      <c r="DH117" s="105"/>
      <c r="DI117" s="105"/>
      <c r="DJ117" s="105"/>
      <c r="DK117" s="105"/>
      <c r="DM117" s="26"/>
      <c r="DN117" s="26"/>
      <c r="DO117" s="26"/>
    </row>
    <row r="118" spans="1:120" ht="16.5" customHeight="1" x14ac:dyDescent="0.25">
      <c r="C118" s="109"/>
      <c r="D118" s="110" t="s">
        <v>356</v>
      </c>
      <c r="E118" s="103">
        <v>111</v>
      </c>
      <c r="F118" s="111"/>
      <c r="G118" s="112">
        <f>SUMIF($E$4:$E$113,"111",$G$4:$G$113)</f>
        <v>2258401424</v>
      </c>
      <c r="H118" s="113">
        <f>SUMIF($E$4:$E$114,"111",$H$4:$H$114)</f>
        <v>181434097</v>
      </c>
      <c r="I118" s="113">
        <f>SUMIF($E$4:$E$114,"111",$I$4:$I$114)</f>
        <v>0</v>
      </c>
      <c r="J118" s="112">
        <f>SUMIF($E$4:$E$113,"111",$J$4:$J$113)</f>
        <v>100000000</v>
      </c>
      <c r="K118" s="112">
        <f>SUMIF($E$4:$E$113,"111",$K$4:$K$113)</f>
        <v>665649946</v>
      </c>
      <c r="L118" s="111">
        <f>SUMIF($E$4:$E$114,"111",$L$4:$L$114)</f>
        <v>0</v>
      </c>
      <c r="M118" s="111">
        <f>SUMIF($E$4:$E$113,"111",$M$4:$M$113)</f>
        <v>0</v>
      </c>
      <c r="N118" s="111">
        <f>SUMIF($E$4:$E$113,"111",$N$4:$N$113)</f>
        <v>12004716</v>
      </c>
      <c r="O118" s="111">
        <f>SUMIF($E$4:$E$113,"111",$O$4:$O$113)</f>
        <v>6840985</v>
      </c>
      <c r="P118" s="111">
        <f>SUMIF($E$4:$E$113,"111",$P$4:$P$113)</f>
        <v>30665828</v>
      </c>
      <c r="Q118" s="111">
        <f>SUMIF($E$4:$E$113,"111",$Q$4:$Q$113)</f>
        <v>0</v>
      </c>
      <c r="R118" s="111">
        <f>SUMIF($E$4:$E$113,"111",$R$4:$R$113)</f>
        <v>0</v>
      </c>
      <c r="S118" s="111">
        <f>SUMIF($E$4:$E$113,"111",$S$4:$S$113)</f>
        <v>0</v>
      </c>
      <c r="T118" s="111">
        <f>SUMIF($E$4:$E$113,"111",$T$4:$T$113)</f>
        <v>100000000</v>
      </c>
      <c r="U118" s="111">
        <f>SUMIF($E$4:$E$113,"111",$U$4:$U$113)</f>
        <v>332000000</v>
      </c>
      <c r="V118" s="111">
        <f>SUMIF($E$4:$E$113,"111",$V$4:$V$113)</f>
        <v>200000000</v>
      </c>
      <c r="W118" s="111">
        <f>SUMIF($E$4:$E$113,"111",$W$4:$W$113)</f>
        <v>0</v>
      </c>
      <c r="X118" s="111"/>
      <c r="Y118" s="111">
        <f>SUMIF($E$4:$E$113,"111",$Y$4:$Y$113)</f>
        <v>0</v>
      </c>
      <c r="Z118" s="111">
        <f>SUMIF($E$4:$E$113,"111",$Z$4:$Z$113)</f>
        <v>0</v>
      </c>
      <c r="AA118" s="111">
        <f>SUMIF($E$4:$E$113,"111",$AA$4:$AA$113)</f>
        <v>629805852</v>
      </c>
      <c r="AB118" s="114">
        <f t="shared" ref="AB118:AB127" si="114">+AC118/G118</f>
        <v>0.77908103417844821</v>
      </c>
      <c r="AC118" s="25">
        <f t="shared" ref="AC118:AC124" si="115">SUM(AD118:AW118)</f>
        <v>1759477717</v>
      </c>
      <c r="AD118" s="112">
        <f>SUMIF($E$4:$E$113,"111",$AD$4:$AD$113)</f>
        <v>181434097</v>
      </c>
      <c r="AE118" s="112">
        <f>SUMIF($E$4:$E$113,"111",$AE$4:$AE$113)</f>
        <v>0</v>
      </c>
      <c r="AF118" s="112">
        <f>SUMIF($E$4:$E$113,"111",$AF$4:$AF$113)</f>
        <v>35881866</v>
      </c>
      <c r="AG118" s="112">
        <f>SUMIF($E$4:$E$113,"111",$AG$4:$AG$113)</f>
        <v>626897592</v>
      </c>
      <c r="AH118" s="112">
        <f>SUMIF($E$4:$E$113,"111",$AH$4:$AH$113)</f>
        <v>0</v>
      </c>
      <c r="AI118" s="112">
        <f>SUMIF($E$4:$E$113,"111",$AI$4:$AI$113)</f>
        <v>0</v>
      </c>
      <c r="AJ118" s="112">
        <f>SUMIF($E$4:$E$113,"111",$AJ$4:$AJ$113)</f>
        <v>12004716</v>
      </c>
      <c r="AK118" s="112">
        <f>SUMIF($E$4:$E$113,"111",$AK$4:$AK$113)</f>
        <v>6840985</v>
      </c>
      <c r="AL118" s="112">
        <f>SUMIF($E$4:$E$113,"111",$AL$4:$AL$113)</f>
        <v>30665828</v>
      </c>
      <c r="AM118" s="112">
        <f>SUMIF($E$4:$E$113,"111",$AM$4:$AM$113)</f>
        <v>0</v>
      </c>
      <c r="AN118" s="112">
        <f>SUMIF($E$4:$E$113,"111",$AN$4:$AN$113)</f>
        <v>0</v>
      </c>
      <c r="AO118" s="112">
        <f>SUMIF($E$4:$E$113,"111",$AO$4:$AO$113)</f>
        <v>0</v>
      </c>
      <c r="AP118" s="112">
        <f>SUMIF($E$4:$E$113,"111",$AP$4:$AP$113)</f>
        <v>100000000</v>
      </c>
      <c r="AQ118" s="112">
        <f>SUMIF($E$4:$E$113,"111",$AQ$4:$AQ$113)</f>
        <v>290000000</v>
      </c>
      <c r="AR118" s="112">
        <f>SUMIF($E$4:$E$113,"111",$AR$4:$AR$113)</f>
        <v>189069282</v>
      </c>
      <c r="AS118" s="112">
        <f>SUMIF($E$4:$E$113,"111",$AS$4:$AS$113)</f>
        <v>0</v>
      </c>
      <c r="AT118" s="112">
        <f>SUMIF($E$4:$E$113,"111",$AT$4:$AT$113)</f>
        <v>0</v>
      </c>
      <c r="AU118" s="112">
        <f>SUMIF($E$4:$E$113,"111",$AU$4:$AU$113)</f>
        <v>0</v>
      </c>
      <c r="AV118" s="112">
        <f>SUMIF($E$4:$E$113,"111",$AV$4:$AV$113)</f>
        <v>0</v>
      </c>
      <c r="AW118" s="112">
        <f>SUMIF($E$4:$E$113,"111",$AW$4:$AW$113)</f>
        <v>286683351</v>
      </c>
      <c r="AX118" s="97">
        <f t="shared" ref="AX118:AX127" si="116">1-AB118</f>
        <v>0.22091896582155179</v>
      </c>
      <c r="AY118" s="25">
        <f t="shared" ref="AY118:AY124" si="117">SUM(AZ118:BS118)</f>
        <v>498923707</v>
      </c>
      <c r="AZ118" s="115">
        <f>SUMIF($E$4:$E$113,"111",$AZ$4:$AZ$113)</f>
        <v>0</v>
      </c>
      <c r="BA118" s="115">
        <f>SUMIF($E$4:$E$113,"111",$BA$4:$BA$113)</f>
        <v>0</v>
      </c>
      <c r="BB118" s="115">
        <f>SUMIF($E$4:$E$113,"111",$BB$4:$BB$113)</f>
        <v>64118134</v>
      </c>
      <c r="BC118" s="115">
        <f>SUMIF($E$4:$E$113,"111",$BC$4:$BC$113)</f>
        <v>38752354</v>
      </c>
      <c r="BD118" s="115">
        <f>SUMIF($E$4:$E$113,"111",$BD$4:$BD$113)</f>
        <v>0</v>
      </c>
      <c r="BE118" s="115">
        <f>SUMIF($E$4:$E$113,"111",$BE$4:$BE$113)</f>
        <v>0</v>
      </c>
      <c r="BF118" s="115">
        <f>SUMIF($E$4:$E$113,"111",$BF$4:$BF$113)</f>
        <v>0</v>
      </c>
      <c r="BG118" s="115">
        <f>SUMIF($E$4:$E$113,"111",$BG$4:$BG$113)</f>
        <v>0</v>
      </c>
      <c r="BH118" s="115">
        <f>SUMIF($E$4:$E$113,"111",$BH$4:$BH$113)</f>
        <v>0</v>
      </c>
      <c r="BI118" s="115">
        <f>SUMIF($E$4:$E$113,"111",$BI$4:$BI$113)</f>
        <v>0</v>
      </c>
      <c r="BJ118" s="115">
        <f>SUMIF($E$4:$E$113,"111",$BJ$4:$BJ$113)</f>
        <v>0</v>
      </c>
      <c r="BK118" s="115">
        <f>SUMIF($E$4:$E$113,"111",$BK$4:$BK$113)</f>
        <v>0</v>
      </c>
      <c r="BL118" s="115">
        <f>SUMIF($E$4:$E$113,"111",$BL$4:$BL$113)</f>
        <v>0</v>
      </c>
      <c r="BM118" s="115">
        <f>SUMIF($E$4:$E$113,"111",$BM$4:$BM$113)</f>
        <v>42000000</v>
      </c>
      <c r="BN118" s="115">
        <f>SUMIF($E$4:$E$113,"111",$BN$4:$BN$113)</f>
        <v>10930718</v>
      </c>
      <c r="BO118" s="115">
        <f>SUMIF($E$4:$E$113,"111",$BO$4:$BO$113)</f>
        <v>0</v>
      </c>
      <c r="BP118" s="115">
        <f>SUMIF($E$4:$E$113,"111",$BP$4:$BP$113)</f>
        <v>0</v>
      </c>
      <c r="BQ118" s="115">
        <f>SUMIF($E$4:$E$113,"111",$BQ$4:$BQ$113)</f>
        <v>0</v>
      </c>
      <c r="BR118" s="115">
        <f>SUMIF($E$4:$E$113,"111",$BR$4:$BR$113)</f>
        <v>0</v>
      </c>
      <c r="BS118" s="116">
        <f>SUMIF($E$4:$E$113,"111",$BS$4:$BS$113)</f>
        <v>343122501</v>
      </c>
      <c r="BT118" s="117">
        <f t="shared" ref="BT118:BT127" si="118">+BU118/G118</f>
        <v>0.38166371303173602</v>
      </c>
      <c r="BU118" s="33">
        <f t="shared" ref="BU118:BU125" si="119">SUM(BV118:CO118)</f>
        <v>861949873</v>
      </c>
      <c r="BV118" s="112">
        <f>SUMIF($E$4:$E$113,"111",$BV$4:$BV$113)</f>
        <v>0</v>
      </c>
      <c r="BW118" s="112">
        <f>SUMIF($E$4:$E$113,"111",$BW$4:$BW$113)</f>
        <v>0</v>
      </c>
      <c r="BX118" s="112">
        <f>SUMIF($E$4:$E$113,"111",$BX$4:$BX$113)</f>
        <v>23731866</v>
      </c>
      <c r="BY118" s="112">
        <f>SUMIF($E$4:$E$113,"111",$BY$4:$BY$113)</f>
        <v>74160140</v>
      </c>
      <c r="BZ118" s="112">
        <f>SUMIF($E$4:$E$113,"111",$BZ$4:$BZ$113)</f>
        <v>0</v>
      </c>
      <c r="CA118" s="112">
        <f>SUMIF($E$4:$E$113,"111",$CA$4:$CA$113)</f>
        <v>0</v>
      </c>
      <c r="CB118" s="112">
        <f t="shared" ref="CB118" si="120">SUMIF($E$4:$E$113,"111",$CB$4:$CB$113)</f>
        <v>12004716</v>
      </c>
      <c r="CC118" s="112">
        <f>SUMIF($E$4:$E$113,"111",$CC$4:$CC$113)</f>
        <v>6840985</v>
      </c>
      <c r="CD118" s="112">
        <f>SUMIF($E$4:$E$113,"111",$CD$4:$CD$113)</f>
        <v>30665828</v>
      </c>
      <c r="CE118" s="112">
        <f>SUMIF($E$4:$E$113,"111",$CE$4:$CE$113)</f>
        <v>0</v>
      </c>
      <c r="CF118" s="112">
        <f>SUMIF($E$4:$E$113,"111",$CF$4:$CF$113)</f>
        <v>0</v>
      </c>
      <c r="CG118" s="112">
        <f>SUMIF($E$4:$E$113,"111",$CG$4:$CG$113)</f>
        <v>0</v>
      </c>
      <c r="CH118" s="112">
        <f>SUMIF($E$4:$E$113,"111",$CH$4:$CH$113)</f>
        <v>100000000</v>
      </c>
      <c r="CI118" s="112">
        <f>SUMIF($E$4:$E$113,"111",$CI$4:$CI$113)</f>
        <v>141978128</v>
      </c>
      <c r="CJ118" s="112">
        <f>SUMIF($E$4:$E$113,"111",$CJ$4:$CJ$113)</f>
        <v>189069282</v>
      </c>
      <c r="CK118" s="112">
        <f>SUMIF($E$4:$E$113,"111",$CK$4:$CK$113)</f>
        <v>0</v>
      </c>
      <c r="CL118" s="112">
        <f>SUMIF($E$4:$E$113,"111",$CL$4:$CL$113)</f>
        <v>0</v>
      </c>
      <c r="CM118" s="112">
        <f>SUMIF($E$4:$E$113,"111",$CM$4:$CM$113)</f>
        <v>0</v>
      </c>
      <c r="CN118" s="112">
        <f>SUMIF($E$4:$E$113,"111",$CN$4:$CN$113)</f>
        <v>0</v>
      </c>
      <c r="CO118" s="118">
        <f>SUMIF($E$4:$E$113,"111",$CO$4:$CO$113)</f>
        <v>283498928</v>
      </c>
      <c r="CP118" s="23">
        <f t="shared" ref="CP118:CP127" si="121">1-BT118</f>
        <v>0.61833628696826404</v>
      </c>
      <c r="CQ118" s="25">
        <f t="shared" ref="CQ118:CQ124" si="122">SUM(CR118:DK118)</f>
        <v>1396451551</v>
      </c>
      <c r="CR118" s="115">
        <f>SUMIF($E$4:$E$113,"111",$CR$4:$CR$113)</f>
        <v>181434097</v>
      </c>
      <c r="CS118" s="115">
        <f>SUMIF($E$4:$E$113,"111",$CS$4:$CS$113)</f>
        <v>0</v>
      </c>
      <c r="CT118" s="115">
        <f>SUMIF($E$4:$E$113,"111",$CT$4:$CT$113)</f>
        <v>76268134</v>
      </c>
      <c r="CU118" s="115">
        <f>SUMIF($E$4:$E$113,"111",$CU$4:$CU$113)</f>
        <v>591489806</v>
      </c>
      <c r="CV118" s="115">
        <f>SUMIF($E$4:$E$113,"111",$CV$4:$CV$113)</f>
        <v>0</v>
      </c>
      <c r="CW118" s="115">
        <f>SUMIF($E$4:$E$113,"111",$CW$4:$CW$113)</f>
        <v>0</v>
      </c>
      <c r="CX118" s="115">
        <f>SUMIF($E$4:$E$113,"111",$CX$4:$CX$113)</f>
        <v>0</v>
      </c>
      <c r="CY118" s="115">
        <f>SUMIF($E$4:$E$113,"111",$CY$4:$CY$113)</f>
        <v>0</v>
      </c>
      <c r="CZ118" s="115">
        <f>SUMIF($E$4:$E$113,"111",$CZ$4:$CZ$113)</f>
        <v>0</v>
      </c>
      <c r="DA118" s="119">
        <f>SUMIF($E$4:$E$113,"111",$DA$4:$DA$113)</f>
        <v>0</v>
      </c>
      <c r="DB118" s="119">
        <f>SUMIF($E$4:$E$113,"111",$DB$4:$DB$113)</f>
        <v>0</v>
      </c>
      <c r="DC118" s="119">
        <f>SUMIF($E$4:$E$113,"111",$DC$4:$DC$113)</f>
        <v>0</v>
      </c>
      <c r="DD118" s="119">
        <f>SUMIF($E$4:$E$113,"111",$DD$4:$DD$113)</f>
        <v>0</v>
      </c>
      <c r="DE118" s="119">
        <f>SUMIF($E$4:$E$113,"111",$DE$4:$DE$113)</f>
        <v>190021872</v>
      </c>
      <c r="DF118" s="119">
        <f>SUMIF($E$4:$E$113,"111",$DF$4:$DF$113)</f>
        <v>10930718</v>
      </c>
      <c r="DG118" s="119">
        <f>SUMIF($E$4:$E$113,"111",$DG$4:$DG$113)</f>
        <v>0</v>
      </c>
      <c r="DH118" s="119">
        <f>SUMIF($E$4:$E$113,"111",$DH$4:$DH$113)</f>
        <v>0</v>
      </c>
      <c r="DI118" s="119">
        <f>SUMIF($E$4:$E$113,"111",$DI$4:$DI$113)</f>
        <v>0</v>
      </c>
      <c r="DJ118" s="119">
        <f>SUMIF($E$4:$E$113,"111",$DJ$4:$DJ$113)</f>
        <v>0</v>
      </c>
      <c r="DK118" s="119">
        <f>SUMIF($E$4:$E$113,"111",$DK$4:$DK$113)</f>
        <v>346306924</v>
      </c>
      <c r="DM118" s="26">
        <f t="shared" ref="DM118:DM127" si="123">+G118</f>
        <v>2258401424</v>
      </c>
      <c r="DN118" s="26">
        <f t="shared" ref="DN118:DN127" si="124">+AC118+AY118</f>
        <v>2258401424</v>
      </c>
      <c r="DO118" s="26">
        <f t="shared" ref="DO118:DO127" si="125">+BU118+CQ118</f>
        <v>2258401424</v>
      </c>
    </row>
    <row r="119" spans="1:120" ht="18" customHeight="1" x14ac:dyDescent="0.25">
      <c r="C119" s="120"/>
      <c r="D119" s="110" t="s">
        <v>357</v>
      </c>
      <c r="E119" s="103">
        <v>211</v>
      </c>
      <c r="F119" s="111"/>
      <c r="G119" s="112">
        <f>SUMIF($E$4:$E$113,"211",$G$4:$G$113)</f>
        <v>3737298707</v>
      </c>
      <c r="H119" s="113">
        <f>SUMIF($E$4:$E$114,"211",$H$4:$H$114)</f>
        <v>0</v>
      </c>
      <c r="I119" s="113">
        <f>SUMIF($E$4:$E$114,"211",$I$4:$I$114)</f>
        <v>112000000</v>
      </c>
      <c r="J119" s="112">
        <f>SUMIF($E$4:$E$113,"211",$J$4:$J$113)</f>
        <v>1050000000</v>
      </c>
      <c r="K119" s="112">
        <f>SUMIF($E$4:$E$113,"211",$K$4:$K$113)</f>
        <v>815752314</v>
      </c>
      <c r="L119" s="111">
        <f>SUMIF($E$4:$E$113,"211",$L$4:$L$113)</f>
        <v>80883013</v>
      </c>
      <c r="M119" s="111">
        <f>SUMIF($E$4:$E$113,"211",$M$4:$M$113)</f>
        <v>210796645</v>
      </c>
      <c r="N119" s="111">
        <f>SUMIF($E$4:$E$113,"211",$N$4:$N$113)</f>
        <v>0</v>
      </c>
      <c r="O119" s="111">
        <f>SUMIF($E$4:$E$113,"211",$O$4:$O$113)</f>
        <v>0</v>
      </c>
      <c r="P119" s="111">
        <f>SUMIF($E$4:$E$113,"211",$P$4:$P$113)</f>
        <v>0</v>
      </c>
      <c r="Q119" s="111">
        <f>SUMIF($E$4:$E$113,"211",$Q$4:$Q$113)</f>
        <v>1940856</v>
      </c>
      <c r="R119" s="111">
        <f>SUMIF($E$4:$E$113,"211",$R$4:$R$113)</f>
        <v>135153822</v>
      </c>
      <c r="S119" s="111">
        <f>SUMIF($E$4:$E$113,"211",$S$4:$S$113)</f>
        <v>0</v>
      </c>
      <c r="T119" s="111">
        <f>SUMIF($E$4:$E$113,"211",$T$4:$T$113)</f>
        <v>200000000</v>
      </c>
      <c r="U119" s="111">
        <f>SUMIF($E$4:$E$113,"211",$U$4:$U$113)</f>
        <v>120224400</v>
      </c>
      <c r="V119" s="111">
        <f>SUMIF($E$4:$E$113,"211",$V$4:$V$113)</f>
        <v>559993410</v>
      </c>
      <c r="W119" s="111">
        <f>SUMIF($E$4:$E$113,"211",$W$4:$W$113)</f>
        <v>0</v>
      </c>
      <c r="X119" s="111"/>
      <c r="Y119" s="111">
        <f>SUMIF($E$4:$E$113,"211",$Y$4:$Y$113)</f>
        <v>0</v>
      </c>
      <c r="Z119" s="111">
        <f>SUMIF($E$4:$E$113,"211",$Z$4:$Z$113)</f>
        <v>0</v>
      </c>
      <c r="AA119" s="111">
        <f>SUMIF($E$4:$E$113,"211",$AA$4:$AA$113)</f>
        <v>450554247</v>
      </c>
      <c r="AB119" s="114">
        <f t="shared" si="114"/>
        <v>0.79413314633937826</v>
      </c>
      <c r="AC119" s="25">
        <f t="shared" si="115"/>
        <v>2967912781</v>
      </c>
      <c r="AD119" s="112">
        <f>SUMIF($E$4:$E$113,"211",$AD$4:$AD$113)</f>
        <v>0</v>
      </c>
      <c r="AE119" s="112">
        <f>SUMIF($E$4:$E$113,"211",$AE$4:$AE$113)</f>
        <v>110997152</v>
      </c>
      <c r="AF119" s="112">
        <f>SUMIF($E$4:$E$113,"211",$AF$4:$AF$113)</f>
        <v>871093442</v>
      </c>
      <c r="AG119" s="112">
        <f>SUMIF($E$4:$E$113,"211",$AG$4:$AG$113)</f>
        <v>815752314</v>
      </c>
      <c r="AH119" s="112">
        <f>SUMIF($E$4:$E$113,"211",$AH$4:$AH$113)</f>
        <v>80883013</v>
      </c>
      <c r="AI119" s="112">
        <f>SUMIF($E$4:$E$113,"211",$AI$4:$AI$113)</f>
        <v>11416500</v>
      </c>
      <c r="AJ119" s="112">
        <f>SUMIF($E$4:$E$113,"211",$AJ$4:$AJ$113)</f>
        <v>0</v>
      </c>
      <c r="AK119" s="112">
        <f>SUMIF($E$4:$E$113,"211",$AK$4:$AK$113)</f>
        <v>0</v>
      </c>
      <c r="AL119" s="112">
        <f>SUMIF($E$4:$E$113,"211",$AL$4:$AL$113)</f>
        <v>0</v>
      </c>
      <c r="AM119" s="112">
        <f>SUMIF($E$4:$E$113,"211",$AM$4:$AM$113)</f>
        <v>0</v>
      </c>
      <c r="AN119" s="112">
        <f>SUMIF($E$4:$E$113,"211",$AN$4:$AN$113)</f>
        <v>135153822</v>
      </c>
      <c r="AO119" s="112">
        <f>SUMIF($E$4:$E$113,"211",$AO$4:$AO$113)</f>
        <v>0</v>
      </c>
      <c r="AP119" s="112">
        <f>SUMIF($E$4:$E$113,"211",$AP$4:$AP$113)</f>
        <v>49455530</v>
      </c>
      <c r="AQ119" s="112">
        <f>SUMIF($E$4:$E$113,"211",$AQ$4:$AQ$113)</f>
        <v>120224400</v>
      </c>
      <c r="AR119" s="112">
        <f>SUMIF($E$4:$E$113,"211",$AR$4:$AR$113)</f>
        <v>476523777</v>
      </c>
      <c r="AS119" s="112">
        <f>SUMIF($E$4:$E$113,"211",$AS$4:$AS$113)</f>
        <v>0</v>
      </c>
      <c r="AT119" s="112">
        <f>SUMIF($E$4:$E$113,"211",$AT$4:$AT$113)</f>
        <v>0</v>
      </c>
      <c r="AU119" s="112">
        <f>SUMIF($E$4:$E$113,"211",$AU$4:$AU$113)</f>
        <v>0</v>
      </c>
      <c r="AV119" s="112">
        <f>SUMIF($E$4:$E$113,"211",$AV$4:$AV$113)</f>
        <v>0</v>
      </c>
      <c r="AW119" s="112">
        <f>SUMIF($E$4:$E$113,"211",$AW$4:$AW$113)</f>
        <v>296412831</v>
      </c>
      <c r="AX119" s="97">
        <f t="shared" si="116"/>
        <v>0.20586685366062174</v>
      </c>
      <c r="AY119" s="25">
        <f t="shared" si="117"/>
        <v>769385926</v>
      </c>
      <c r="AZ119" s="115">
        <f>SUMIF($E$4:$E$113,"211",$AZ$4:$AZ$113)</f>
        <v>0</v>
      </c>
      <c r="BA119" s="115">
        <f>SUMIF($E$4:$E$113,"211",$BA$4:$BA$113)</f>
        <v>1002848</v>
      </c>
      <c r="BB119" s="115">
        <f>SUMIF($E$4:$E$113,"211",$BB$4:$BB$113)</f>
        <v>178906558</v>
      </c>
      <c r="BC119" s="115">
        <f>SUMIF($E$4:$E$113,"211",$BC$4:$BC$113)</f>
        <v>0</v>
      </c>
      <c r="BD119" s="115">
        <f>SUMIF($E$4:$E$113,"211",$BD$4:$BD$113)</f>
        <v>0</v>
      </c>
      <c r="BE119" s="115">
        <f>SUMIF($E$4:$E$113,"211",$BE$4:$BE$113)</f>
        <v>199380145</v>
      </c>
      <c r="BF119" s="115">
        <f>SUMIF($E$4:$E$113,"211",$BF$4:$BF$113)</f>
        <v>0</v>
      </c>
      <c r="BG119" s="115">
        <f>SUMIF($E$4:$E$113,"211",$BG$4:$BG$113)</f>
        <v>0</v>
      </c>
      <c r="BH119" s="115">
        <f>SUMIF($E$4:$E$113,"211",$BH$4:$BH$113)</f>
        <v>0</v>
      </c>
      <c r="BI119" s="115">
        <f>SUMIF($E$4:$E$113,"211",$BI$4:$BI$113)</f>
        <v>1940856</v>
      </c>
      <c r="BJ119" s="115">
        <f>SUMIF($E$4:$E$113,"211",$BJ$4:$BJ$113)</f>
        <v>0</v>
      </c>
      <c r="BK119" s="115">
        <f>SUMIF($E$4:$E$113,"211",$BK$4:$BK$113)</f>
        <v>0</v>
      </c>
      <c r="BL119" s="115">
        <f>SUMIF($E$4:$E$113,"211",$BL$4:$BL$113)</f>
        <v>150544470</v>
      </c>
      <c r="BM119" s="115">
        <f>SUMIF($E$4:$E$113,"211",$BM$4:$BM$113)</f>
        <v>0</v>
      </c>
      <c r="BN119" s="115">
        <f>SUMIF($E$4:$E$113,"211",$BN$4:$BN$113)</f>
        <v>83469633</v>
      </c>
      <c r="BO119" s="115">
        <f>SUMIF($E$4:$E$113,"211",$BO$4:$BO$113)</f>
        <v>0</v>
      </c>
      <c r="BP119" s="115">
        <f>SUMIF($E$4:$E$113,"211",$BP$4:$BP$113)</f>
        <v>0</v>
      </c>
      <c r="BQ119" s="115">
        <f>SUMIF($E$4:$E$113,"211",$BQ$4:$BQ$113)</f>
        <v>0</v>
      </c>
      <c r="BR119" s="115">
        <f>SUMIF($E$4:$E$113,"211",$BR$4:$BR$113)</f>
        <v>0</v>
      </c>
      <c r="BS119" s="116">
        <f>SUMIF($E$4:$E$113,"211",$BS$4:$BS$113)</f>
        <v>154141416</v>
      </c>
      <c r="BT119" s="117">
        <f t="shared" si="118"/>
        <v>0.56483359145100309</v>
      </c>
      <c r="BU119" s="33">
        <f t="shared" si="119"/>
        <v>2110951851</v>
      </c>
      <c r="BV119" s="112">
        <f>SUMIF($E$4:$E$113,"211",$BV$4:$BV$113)</f>
        <v>0</v>
      </c>
      <c r="BW119" s="112">
        <f>SUMIF($E$4:$E$113,"211",$BW$4:$BW$113)</f>
        <v>110832974</v>
      </c>
      <c r="BX119" s="112">
        <f>SUMIF($E$4:$E$113,"211",$BX$4:$BX$113)</f>
        <v>647203333</v>
      </c>
      <c r="BY119" s="112">
        <f>SUMIF($E$4:$E$113,"211",$BY$4:$BY$113)</f>
        <v>697857678</v>
      </c>
      <c r="BZ119" s="112">
        <f>SUMIF($E$4:$E$113,"211",$BZ$4:$BZ$113)</f>
        <v>7736670</v>
      </c>
      <c r="CA119" s="112">
        <f>SUMIF($E$4:$E$113,"211",$CA$4:$CA$113)</f>
        <v>11416500</v>
      </c>
      <c r="CB119" s="112">
        <f>SUMIF($E$4:$E$113,"211",$CB$4:$CB$113)</f>
        <v>0</v>
      </c>
      <c r="CC119" s="112"/>
      <c r="CD119" s="112">
        <f>SUMIF($E$4:$E$113,"211",$CD$4:$CD$113)</f>
        <v>0</v>
      </c>
      <c r="CE119" s="112">
        <f>SUMIF($E$4:$E$113,"211",$CE$4:$CE$113)</f>
        <v>0</v>
      </c>
      <c r="CF119" s="112">
        <f>SUMIF($E$4:$E$113,"211",$CF$4:$CF$113)</f>
        <v>10153894</v>
      </c>
      <c r="CG119" s="112">
        <f>SUMIF($E$4:$E$113,"211",$CG$4:$CG$113)</f>
        <v>0</v>
      </c>
      <c r="CH119" s="112">
        <f>SUMIF($E$4:$E$113,"211",$CH$4:$CH$113)</f>
        <v>49455530</v>
      </c>
      <c r="CI119" s="112">
        <f>SUMIF($E$4:$E$113,"211",$CI$4:$CI$113)</f>
        <v>0</v>
      </c>
      <c r="CJ119" s="112">
        <f>SUMIF($E$4:$E$113,"211",$CJ$4:$CJ$113)</f>
        <v>468270043</v>
      </c>
      <c r="CK119" s="112">
        <f>SUMIF($E$4:$E$113,"211",$CK$4:$CK$113)</f>
        <v>0</v>
      </c>
      <c r="CL119" s="112">
        <f>SUMIF($E$4:$E$113,"211",$CL$4:$CL$113)</f>
        <v>0</v>
      </c>
      <c r="CM119" s="112">
        <f>SUMIF($E$4:$E$113,"211",$CM$4:$CM$113)</f>
        <v>0</v>
      </c>
      <c r="CN119" s="112">
        <f>SUMIF($E$4:$E$113,"211",$CN$4:$CN$113)</f>
        <v>0</v>
      </c>
      <c r="CO119" s="118">
        <f>SUMIF($E$4:$E$113,"211",$CO$4:$CO$113)</f>
        <v>108025229</v>
      </c>
      <c r="CP119" s="23">
        <f t="shared" si="121"/>
        <v>0.43516640854899691</v>
      </c>
      <c r="CQ119" s="25">
        <f t="shared" ca="1" si="122"/>
        <v>1626346856</v>
      </c>
      <c r="CR119" s="115">
        <f ca="1">SUMIF($E$4:$E$114,"211",$CR$4:$CR$113)</f>
        <v>0</v>
      </c>
      <c r="CS119" s="115">
        <f>SUMIF($E$4:$E$113,"211",$CS$4:$CS$113)</f>
        <v>1167026</v>
      </c>
      <c r="CT119" s="115">
        <f>SUMIF($E$4:$E$113,"211",$CT$4:$CT$113)</f>
        <v>402796667</v>
      </c>
      <c r="CU119" s="115">
        <f>SUMIF($E$4:$E$113,"211",$CU$4:$CU$113)</f>
        <v>117894636</v>
      </c>
      <c r="CV119" s="115">
        <f>SUMIF($E$4:$E$113,"211",$CV$4:$CV$113)</f>
        <v>73146343</v>
      </c>
      <c r="CW119" s="115">
        <f>SUMIF($E$4:$E$113,"211",$CW$4:$CW$113)</f>
        <v>199380145</v>
      </c>
      <c r="CX119" s="115">
        <f>SUMIF($E$4:$E$113,"211",$CX$4:$CX$113)</f>
        <v>0</v>
      </c>
      <c r="CY119" s="115">
        <f>SUMIF($E$4:$E$113,"211",$CY$4:$CY$113)</f>
        <v>0</v>
      </c>
      <c r="CZ119" s="119">
        <f>SUMIF($E$4:$E$113,"211",$CZ$4:$CZ$113)</f>
        <v>0</v>
      </c>
      <c r="DA119" s="119">
        <f>SUMIF($E$4:$E$113,"211",$DA$4:$DA$113)</f>
        <v>1940856</v>
      </c>
      <c r="DB119" s="119">
        <f>SUMIF($E$4:$E$113,"211",$DB$4:$DB$113)</f>
        <v>124999928</v>
      </c>
      <c r="DC119" s="119">
        <f>SUMIF($E$4:$E$113,"211",$DC$4:$DC$113)</f>
        <v>0</v>
      </c>
      <c r="DD119" s="119">
        <f>SUMIF($E$4:$E$113,"211",$DD$4:$DD$113)</f>
        <v>150544470</v>
      </c>
      <c r="DE119" s="119">
        <f>SUMIF($E$4:$E$113,"211",$DE$4:$DE$113)</f>
        <v>120224400</v>
      </c>
      <c r="DF119" s="119">
        <f>SUMIF($E$4:$E$113,"211",$DF$4:$DF$113)</f>
        <v>91723367</v>
      </c>
      <c r="DG119" s="119">
        <f>SUMIF($E$4:$E$113,"211",$DG$4:$DG$113)</f>
        <v>0</v>
      </c>
      <c r="DH119" s="119">
        <f>SUMIF($E$4:$E$113,"211",$DH$4:$DH$113)</f>
        <v>0</v>
      </c>
      <c r="DI119" s="119">
        <f>SUMIF($E$4:$E$113,"211",$DI$4:$DI$113)</f>
        <v>0</v>
      </c>
      <c r="DJ119" s="119">
        <f>SUMIF($E$4:$E$113,"211",$DJ$4:$DJ$113)</f>
        <v>0</v>
      </c>
      <c r="DK119" s="119">
        <f>SUMIF($E$4:$E$113,"211",$DK$4:$DK$113)</f>
        <v>342529018</v>
      </c>
      <c r="DM119" s="26">
        <f t="shared" si="123"/>
        <v>3737298707</v>
      </c>
      <c r="DN119" s="26">
        <f t="shared" si="124"/>
        <v>3737298707</v>
      </c>
      <c r="DO119" s="26">
        <f t="shared" ca="1" si="125"/>
        <v>3737298707</v>
      </c>
    </row>
    <row r="120" spans="1:120" ht="16.5" customHeight="1" x14ac:dyDescent="0.25">
      <c r="C120" s="120"/>
      <c r="D120" s="110" t="s">
        <v>358</v>
      </c>
      <c r="E120" s="103">
        <v>310</v>
      </c>
      <c r="F120" s="111"/>
      <c r="G120" s="112">
        <f>SUMIF($E$4:$E$113,"310",$G$4:$G$114)</f>
        <v>787030623</v>
      </c>
      <c r="H120" s="113">
        <f>SUMIF($E$4:$E$113,"310",$H$4:$H$113)</f>
        <v>0</v>
      </c>
      <c r="I120" s="113">
        <f>SUMIF($E$4:$E$113,"310",$I$4:$I$113)</f>
        <v>290000000</v>
      </c>
      <c r="J120" s="112">
        <f>SUMIF($E$4:$E$113,"310",$J$4:$J$113)</f>
        <v>0</v>
      </c>
      <c r="K120" s="112">
        <f>SUMIF($E$4:$E$113,"310",$K$4:$K$113)</f>
        <v>209530623</v>
      </c>
      <c r="L120" s="111">
        <f>SUMIF($E$4:$E$113,"310",$L$4:$L$113)</f>
        <v>0</v>
      </c>
      <c r="M120" s="111">
        <f>SUMIF($E$4:$E$113,"310",$M$4:$M$113)</f>
        <v>0</v>
      </c>
      <c r="N120" s="111">
        <f>SUMIF($E$4:$E$113,"310",$N$4:$N$113)</f>
        <v>0</v>
      </c>
      <c r="O120" s="111">
        <f>SUMIF($E$4:$E$113,"310",$O$4:$O$113)</f>
        <v>0</v>
      </c>
      <c r="P120" s="111">
        <f>SUMIF($E$4:$E$113,"310",$P$4:$P$113)</f>
        <v>0</v>
      </c>
      <c r="Q120" s="111">
        <f>SUMIF($E$4:$E$113,"310",$Q$4:$Q$113)</f>
        <v>0</v>
      </c>
      <c r="R120" s="111">
        <f>SUMIF($E$4:$E$113,"310",$R$4:$R$113)</f>
        <v>0</v>
      </c>
      <c r="S120" s="111">
        <f>SUMIF($E$4:$E$113,"310",$S$4:$S$113)</f>
        <v>0</v>
      </c>
      <c r="T120" s="111">
        <f>SUMIF($E$4:$E$113,"310",$T$4:$T$113)</f>
        <v>0</v>
      </c>
      <c r="U120" s="111">
        <f>SUMIF($E$4:$E$113,"310",$U$4:$U$113)</f>
        <v>0</v>
      </c>
      <c r="V120" s="111">
        <f>SUMIF($E$4:$E$113,"310",$V$4:$V$113)</f>
        <v>200000000</v>
      </c>
      <c r="W120" s="111">
        <f>SUMIF($E$4:$E$106,"310",$W$4:$W$106)</f>
        <v>0</v>
      </c>
      <c r="X120" s="111"/>
      <c r="Y120" s="111">
        <f>SUMIF($E$4:$E$113,"310",$Y$4:$Y$113)</f>
        <v>0</v>
      </c>
      <c r="Z120" s="111">
        <f>SUMIF($E$4:$E$113,"310",$Z$4:$Z$113)</f>
        <v>0</v>
      </c>
      <c r="AA120" s="111">
        <f>SUMIF($E$4:$E$113,"310",$AA$4:$AA$113)</f>
        <v>87500000</v>
      </c>
      <c r="AB120" s="114">
        <f t="shared" si="114"/>
        <v>0.80118003235561519</v>
      </c>
      <c r="AC120" s="33">
        <f t="shared" si="115"/>
        <v>630553220</v>
      </c>
      <c r="AD120" s="112">
        <f>SUMIF($E$4:$E$113,"310",$AD$4:$AD$113)</f>
        <v>0</v>
      </c>
      <c r="AE120" s="112">
        <f>SUMIF($E$4:$E$113,"310",$AE$4:$AE$113)</f>
        <v>214124131</v>
      </c>
      <c r="AF120" s="112">
        <f>SUMIF($E$4:$E$113,"310",$AF$4:$AF$113)</f>
        <v>0</v>
      </c>
      <c r="AG120" s="112">
        <f>SUMIF($E$4:$E$113,"310",$AG$4:$AG$113)</f>
        <v>166793186</v>
      </c>
      <c r="AH120" s="112">
        <f>SUMIF($E$4:$E$113,"310",$AH$4:$AH$113)</f>
        <v>0</v>
      </c>
      <c r="AI120" s="112">
        <f>SUMIF($E$4:$E$113,"310",$AI$4:$AI$113)</f>
        <v>0</v>
      </c>
      <c r="AJ120" s="112">
        <f>SUMIF($E$4:$E$113,"310",$AJ$4:$AJ$113)</f>
        <v>0</v>
      </c>
      <c r="AK120" s="112">
        <f>SUMIF($E$4:$E$113,"310",$AK$4:$AK$113)</f>
        <v>0</v>
      </c>
      <c r="AL120" s="112">
        <f>SUMIF($E$4:$E$113,"310",$AL$4:$AL$113)</f>
        <v>0</v>
      </c>
      <c r="AM120" s="112">
        <f>SUMIF($E$4:$E$113,"310",$AM$4:$AM$113)</f>
        <v>0</v>
      </c>
      <c r="AN120" s="112">
        <f>SUMIF($E$4:$E$113,"310",$AN$4:$AN$113)</f>
        <v>0</v>
      </c>
      <c r="AO120" s="112">
        <f>SUMIF($E$4:$E$113,"310",$AO$4:$AO$113)</f>
        <v>0</v>
      </c>
      <c r="AP120" s="112">
        <f>SUMIF($E$4:$E$113,"310",$AP$4:$AP$113)</f>
        <v>0</v>
      </c>
      <c r="AQ120" s="112">
        <f>SUMIF($E$4:$E$113,"310",$AQ$4:$AQ$113)</f>
        <v>0</v>
      </c>
      <c r="AR120" s="112">
        <f>SUMIF($E$4:$E$113,"310",$AR$4:$AR$113)</f>
        <v>200000000</v>
      </c>
      <c r="AS120" s="112">
        <f>SUMIF($E$4:$E$113,"310",$AS$4:$AS$113)</f>
        <v>0</v>
      </c>
      <c r="AT120" s="112">
        <f>SUMIF($E$4:$E$113,"310",$AT$4:$AT$113)</f>
        <v>0</v>
      </c>
      <c r="AU120" s="112">
        <f>SUMIF($E$4:$E$113,"310",$AU$4:$AU$113)</f>
        <v>0</v>
      </c>
      <c r="AV120" s="112">
        <f>SUMIF($E$4:$E$113,"310",$AV$4:$AV$113)</f>
        <v>0</v>
      </c>
      <c r="AW120" s="112">
        <f>SUMIF($E$4:$E$113,"310",$AW$4:$AW$113)</f>
        <v>49635903</v>
      </c>
      <c r="AX120" s="97">
        <f t="shared" si="116"/>
        <v>0.19881996764438481</v>
      </c>
      <c r="AY120" s="25">
        <f t="shared" si="117"/>
        <v>156477403</v>
      </c>
      <c r="AZ120" s="115">
        <f>SUMIF($E$4:$E$113,"310",$AZ$4:$AZ$113)</f>
        <v>0</v>
      </c>
      <c r="BA120" s="115">
        <f>SUMIF($E$4:$E$113,"310",$BA$4:$BA$113)</f>
        <v>75875869</v>
      </c>
      <c r="BB120" s="115">
        <f>SUMIF($E$4:$E$113,"310",$BB$4:$BB$113)</f>
        <v>0</v>
      </c>
      <c r="BC120" s="115">
        <f>SUMIF($E$4:$E$113,"310",$BC$4:$BC$113)</f>
        <v>42737437</v>
      </c>
      <c r="BD120" s="115">
        <f>SUMIF($E$4:$E$113,"310",$BD$4:$BD$113)</f>
        <v>0</v>
      </c>
      <c r="BE120" s="115">
        <f>SUMIF($E$4:$E$113,"310",$BE$4:$BE$113)</f>
        <v>0</v>
      </c>
      <c r="BF120" s="115">
        <f>SUMIF($E$4:$E$113,"310",$BF$4:$BF$113)</f>
        <v>0</v>
      </c>
      <c r="BG120" s="115">
        <f>SUMIF($E$4:$E$113,"310",$BG$4:$BG$113)</f>
        <v>0</v>
      </c>
      <c r="BH120" s="115">
        <f>SUMIF($E$4:$E$113,"310",$BH$4:$BH$113)</f>
        <v>0</v>
      </c>
      <c r="BI120" s="115">
        <f>SUMIF($E$4:$E$113,"310",$BI$4:$BI$113)</f>
        <v>0</v>
      </c>
      <c r="BJ120" s="115">
        <f>SUMIF($E$4:$E$113,"310",$BJ$4:$BJ$113)</f>
        <v>0</v>
      </c>
      <c r="BK120" s="115">
        <f>SUMIF($E$4:$E$113,"310",$BK$4:$BK$113)</f>
        <v>0</v>
      </c>
      <c r="BL120" s="115">
        <f>SUMIF($E$4:$E$113,"310",$BL$4:$BL$113)</f>
        <v>0</v>
      </c>
      <c r="BM120" s="115">
        <f>SUMIF($E$4:$E$113,"310",$BM$4:$BM$113)</f>
        <v>0</v>
      </c>
      <c r="BN120" s="115">
        <f>SUMIF($E$4:$E$113,"310",$BN$4:$BN$113)</f>
        <v>0</v>
      </c>
      <c r="BO120" s="115">
        <f>SUMIF($E$4:$E$113,"310",$BO$4:$BO$113)</f>
        <v>0</v>
      </c>
      <c r="BP120" s="115">
        <f>SUMIF($E$4:$E$113,"310",$BP$4:$BP$113)</f>
        <v>0</v>
      </c>
      <c r="BQ120" s="115">
        <f>SUMIF($E$4:$E$113,"310",$BQ$4:$BQ$113)</f>
        <v>0</v>
      </c>
      <c r="BR120" s="115">
        <f>SUMIF($E$4:$E$113,"310",$BR$4:$BR$113)</f>
        <v>0</v>
      </c>
      <c r="BS120" s="116">
        <f>SUMIF($E$4:$E$113,"310",$BS$4:$BS$113)</f>
        <v>37864097</v>
      </c>
      <c r="BT120" s="117">
        <f t="shared" si="118"/>
        <v>0.56349079062454732</v>
      </c>
      <c r="BU120" s="33">
        <f t="shared" si="119"/>
        <v>443484508</v>
      </c>
      <c r="BV120" s="112">
        <f>SUMIF($E$4:$E$113,"310",$BV$4:$BV$113)</f>
        <v>0</v>
      </c>
      <c r="BW120" s="112">
        <f>SUMIF($E$4:$E$113,"310",$BW$4:$BW$113)</f>
        <v>128905954</v>
      </c>
      <c r="BX120" s="112">
        <f>SUMIF($E$4:$E$113,"310",$BX$4:$BX$113)</f>
        <v>0</v>
      </c>
      <c r="BY120" s="112">
        <f>SUMIF($E$4:$E$113,"310",$BY$4:$BY$113)</f>
        <v>143552694</v>
      </c>
      <c r="BZ120" s="112">
        <f>SUMIF($E$4:$E$113,"310",$BZ$4:$BZ$113)</f>
        <v>0</v>
      </c>
      <c r="CA120" s="112">
        <f>SUMIF($E$4:$E$113,"310",$CA$4:$CA$113)</f>
        <v>0</v>
      </c>
      <c r="CB120" s="112">
        <f>SUMIF($E$4:$E$113,"310",$CB$4:$CB$113)</f>
        <v>0</v>
      </c>
      <c r="CC120" s="112"/>
      <c r="CD120" s="112">
        <f>SUMIF($E$4:$E$113,"310",$CD$4:$CD$113)</f>
        <v>0</v>
      </c>
      <c r="CE120" s="112">
        <f>SUMIF($E$4:$E$113,"310",$CE$4:$CE$113)</f>
        <v>0</v>
      </c>
      <c r="CF120" s="112">
        <f>SUMIF($E$4:$E$113,"310",$CF$4:$CF$113)</f>
        <v>0</v>
      </c>
      <c r="CG120" s="112">
        <f>SUMIF($E$4:$E$113,"310",$CG$4:$CG$113)</f>
        <v>0</v>
      </c>
      <c r="CH120" s="112">
        <f>SUMIF($E$4:$E$113,"310",$CH$4:$CH$113)</f>
        <v>0</v>
      </c>
      <c r="CI120" s="112">
        <f>SUMIF($E$4:$E$113,"310",$CI$4:$CI$113)</f>
        <v>0</v>
      </c>
      <c r="CJ120" s="112">
        <f>SUMIF($E$4:$E$113,"310",$CJ$4:$CJ$113)</f>
        <v>145829564</v>
      </c>
      <c r="CK120" s="112">
        <f>SUMIF($E$4:$E$113,"310",$CK$4:$CK$113)</f>
        <v>0</v>
      </c>
      <c r="CL120" s="112">
        <f>SUMIF($E$4:$E$113,"310",$CL$4:$CL$113)</f>
        <v>0</v>
      </c>
      <c r="CM120" s="112">
        <f>SUMIF($E$4:$E$113,"310",$CM$4:$CM$113)</f>
        <v>0</v>
      </c>
      <c r="CN120" s="112">
        <f>SUMIF($E$4:$E$113,"310",$CN$4:$CN$113)</f>
        <v>0</v>
      </c>
      <c r="CO120" s="118">
        <f>SUMIF($E$4:$E$113,"310",$CO$4:$CO$113)</f>
        <v>25196296</v>
      </c>
      <c r="CP120" s="23">
        <f t="shared" si="121"/>
        <v>0.43650920937545268</v>
      </c>
      <c r="CQ120" s="25">
        <f t="shared" si="122"/>
        <v>343546115</v>
      </c>
      <c r="CR120" s="115">
        <f>SUMIF($E$4:$E$113,"310",$CR$4:$CR$113)</f>
        <v>0</v>
      </c>
      <c r="CS120" s="115">
        <f>SUMIF($E$4:$E$113,"310",$CS$4:$CS$113)</f>
        <v>161094046</v>
      </c>
      <c r="CT120" s="115">
        <f>SUMIF($E$4:$E$113,"310",$CT$4:$CT$113)</f>
        <v>0</v>
      </c>
      <c r="CU120" s="115">
        <f>SUMIF($E$4:$E$113,"310",$CU$4:$CU$113)</f>
        <v>65977929</v>
      </c>
      <c r="CV120" s="115">
        <f>SUMIF($E$4:$E$113,"310",$CV$4:$CV$113)</f>
        <v>0</v>
      </c>
      <c r="CW120" s="115">
        <f>SUMIF($E$4:$E$113,"310",$CW$4:$CW$113)</f>
        <v>0</v>
      </c>
      <c r="CX120" s="115">
        <f>SUMIF($E$4:$E$113,"310",$CX$4:$CX$113)</f>
        <v>0</v>
      </c>
      <c r="CY120" s="115">
        <f>SUMIF($E$4:$E$113,"310",$CY$4:$CY$113)</f>
        <v>0</v>
      </c>
      <c r="CZ120" s="119">
        <f>SUMIF($E$4:$E$113,"310",$CZ$4:$CZ$113)</f>
        <v>0</v>
      </c>
      <c r="DA120" s="119">
        <f>SUMIF($E$4:$E$113,"310",$DA$4:$DA$113)</f>
        <v>0</v>
      </c>
      <c r="DB120" s="119">
        <f>SUMIF($E$4:$E$113,"310",$DB$4:$DB$113)</f>
        <v>0</v>
      </c>
      <c r="DC120" s="119">
        <f>SUMIF($E$4:$E$113,"310",$DC$4:$DC$113)</f>
        <v>0</v>
      </c>
      <c r="DD120" s="119">
        <f>SUMIF($E$4:$E$113,"310",$DD$4:$DD$113)</f>
        <v>0</v>
      </c>
      <c r="DE120" s="119">
        <f>SUMIF($E$4:$E$113,"310",$DE$4:$DE$113)</f>
        <v>0</v>
      </c>
      <c r="DF120" s="119">
        <f>SUMIF($E$4:$E$113,"310",$DF$4:$DF$113)</f>
        <v>54170436</v>
      </c>
      <c r="DG120" s="119">
        <f>SUMIF($E$4:$E$113,"310",$DG$4:$DG$113)</f>
        <v>0</v>
      </c>
      <c r="DH120" s="119">
        <f>SUMIF($E$4:$E$113,"310",$DH$4:$DH$113)</f>
        <v>0</v>
      </c>
      <c r="DI120" s="119">
        <f>SUMIF($E$4:$E$113,"310",$DI$4:$DI$113)</f>
        <v>0</v>
      </c>
      <c r="DJ120" s="119">
        <f>SUMIF($E$4:$E$113,"310",$DJ$4:$DJ$113)</f>
        <v>0</v>
      </c>
      <c r="DK120" s="119">
        <f>SUMIF($E$4:$E$113,"310",$DK$4:$DK$113)</f>
        <v>62303704</v>
      </c>
      <c r="DM120" s="26">
        <f t="shared" si="123"/>
        <v>787030623</v>
      </c>
      <c r="DN120" s="26">
        <f t="shared" si="124"/>
        <v>787030623</v>
      </c>
      <c r="DO120" s="26">
        <f t="shared" si="125"/>
        <v>787030623</v>
      </c>
    </row>
    <row r="121" spans="1:120" x14ac:dyDescent="0.25">
      <c r="C121" s="121"/>
      <c r="D121" s="110" t="s">
        <v>359</v>
      </c>
      <c r="E121" s="103">
        <v>410</v>
      </c>
      <c r="F121" s="111"/>
      <c r="G121" s="112">
        <f>SUMIF($E$4:$E$113,"410",$G$4:$G$113)</f>
        <v>7127077871</v>
      </c>
      <c r="H121" s="113">
        <f>SUMIF($E$4:$E$113,"410",$H$4:$H$113)</f>
        <v>0</v>
      </c>
      <c r="I121" s="113">
        <f>SUMIF($E$4:$E$114,"410",$I$4:$I$114)</f>
        <v>500000000</v>
      </c>
      <c r="J121" s="112">
        <f>SUMIF($E$4:$E$113,"410",$J$4:$J$113)</f>
        <v>2550000000</v>
      </c>
      <c r="K121" s="112">
        <f>SUMIF($E$4:$E$113,"410",$K$4:$K$113)</f>
        <v>234297558</v>
      </c>
      <c r="L121" s="111">
        <f>SUMIF($E$4:$E$113,"410",$L$4:$L$113)</f>
        <v>0</v>
      </c>
      <c r="M121" s="111">
        <f>SUMIF($E$4:$E$113,"410",$M$4:$M$113)</f>
        <v>0</v>
      </c>
      <c r="N121" s="111">
        <f>SUMIF($E$4:$E$113,"410",$N$4:$N$113)</f>
        <v>0</v>
      </c>
      <c r="O121" s="111">
        <f>SUMIF($E$4:$E$113,"410",$O$4:$O$113)</f>
        <v>0</v>
      </c>
      <c r="P121" s="111">
        <f>SUMIF($E$4:$E$113,"410",$P$4:$P$113)</f>
        <v>0</v>
      </c>
      <c r="Q121" s="111">
        <f>SUMIF($E$4:$E$113,"410",$Q$4:$Q$113)</f>
        <v>0</v>
      </c>
      <c r="R121" s="111">
        <f>SUMIF($E$4:$E$113,"410",$R$4:$R$113)</f>
        <v>0</v>
      </c>
      <c r="S121" s="111">
        <f>SUMIF($E$4:$E$113,"410",$S$4:$S$113)</f>
        <v>3157557814</v>
      </c>
      <c r="T121" s="111">
        <f>SUMIF($E$4:$E$113,"410",$T$4:$T$113)</f>
        <v>0</v>
      </c>
      <c r="U121" s="111">
        <f>SUMIF($E$4:$E$113,"410",$U$4:$U$113)</f>
        <v>0</v>
      </c>
      <c r="V121" s="111">
        <f>SUMIF($E$4:$E$106,"410",$V$4:$V$106)</f>
        <v>427275758</v>
      </c>
      <c r="W121" s="111">
        <f>SUMIF($E$4:$E$106,"410",$W$4:$W$106)</f>
        <v>0</v>
      </c>
      <c r="X121" s="111">
        <f>SUMIF($E$4:$E$113,"410",$X$4:$X$113)</f>
        <v>119946741</v>
      </c>
      <c r="Y121" s="111">
        <f>SUMIF($E$4:$E$113,"410",$Y$4:$Y$113)</f>
        <v>0</v>
      </c>
      <c r="Z121" s="111">
        <f>SUMIF($E$4:$E$113,"410",$Z$4:$Z$113)</f>
        <v>0</v>
      </c>
      <c r="AA121" s="111">
        <f>SUMIF($E$4:$E$113,"410",$AA$4:$AA$113)</f>
        <v>138000000</v>
      </c>
      <c r="AB121" s="114">
        <f t="shared" si="114"/>
        <v>0.78588342899838648</v>
      </c>
      <c r="AC121" s="25">
        <f t="shared" si="115"/>
        <v>5601052396</v>
      </c>
      <c r="AD121" s="112">
        <f>SUMIF($E$4:$E$113,"410",$AD$4:$AD$113)</f>
        <v>0</v>
      </c>
      <c r="AE121" s="112">
        <f>SUMIF($E$4:$E$113,"410",$AE$4:$AE$113)</f>
        <v>471762012</v>
      </c>
      <c r="AF121" s="112">
        <f>SUMIF($E$4:$E$113,"410",$AF$4:$AF$113)</f>
        <v>2209904030</v>
      </c>
      <c r="AG121" s="112">
        <f>SUMIF($E$4:$E$113,"410",$AG$4:$AG$113)</f>
        <v>209836688</v>
      </c>
      <c r="AH121" s="112">
        <f>SUMIF($E$4:$E$113,"410",$AH$4:$AH$113)</f>
        <v>0</v>
      </c>
      <c r="AI121" s="112">
        <f>SUMIF($E$4:$E$113,"410",$AI$4:$AI$113)</f>
        <v>0</v>
      </c>
      <c r="AJ121" s="112">
        <f>SUMIF($E$4:$E$113,"410",$AJ$4:$AJ$113)</f>
        <v>0</v>
      </c>
      <c r="AK121" s="112">
        <f>SUMIF($E$4:$E$113,"410",$AK$4:$AK$113)</f>
        <v>0</v>
      </c>
      <c r="AL121" s="112">
        <f>SUMIF($E$4:$E$113,"410",$AL$4:$AL$113)</f>
        <v>0</v>
      </c>
      <c r="AM121" s="112">
        <f>SUMIF($E$4:$E$113,"410",$AM$4:$AM$113)</f>
        <v>0</v>
      </c>
      <c r="AN121" s="112">
        <f>SUMIF($E$4:$E$113,"410",$AN$4:$AN$113)</f>
        <v>0</v>
      </c>
      <c r="AO121" s="112">
        <f>SUMIF($E$4:$E$113,"410",$AO$4:$AO$113)</f>
        <v>2170553330</v>
      </c>
      <c r="AP121" s="112">
        <f>SUMIF($E$4:$E$113,"410",$AP$4:$AP$113)</f>
        <v>0</v>
      </c>
      <c r="AQ121" s="112">
        <f>SUMIF($E$4:$E$113,"410",$AQ$4:$AQ$113)</f>
        <v>0</v>
      </c>
      <c r="AR121" s="112">
        <f>SUMIF($E$4:$E$113,"410",$AR$4:$AR$113)</f>
        <v>329664409</v>
      </c>
      <c r="AS121" s="112">
        <f>SUMIF($E$4:$E$113,"410",$AS$4:$AS$113)</f>
        <v>0</v>
      </c>
      <c r="AT121" s="112">
        <f>SUMIF($E$4:$E$113,"410",$AT$4:$AT$113)</f>
        <v>119946741</v>
      </c>
      <c r="AU121" s="112">
        <f>SUMIF($E$4:$E$113,"410",$AU$4:$AU$113)</f>
        <v>0</v>
      </c>
      <c r="AV121" s="112">
        <f>SUMIF($E$4:$E$113,"410",$AV$4:$AV$113)</f>
        <v>0</v>
      </c>
      <c r="AW121" s="112">
        <f>SUMIF($E$4:$E$113,"410",$AW$4:$AW$113)</f>
        <v>89385186</v>
      </c>
      <c r="AX121" s="97">
        <f t="shared" si="116"/>
        <v>0.21411657100161352</v>
      </c>
      <c r="AY121" s="25">
        <f t="shared" si="117"/>
        <v>1526025475</v>
      </c>
      <c r="AZ121" s="115">
        <f>SUMIF($E$4:$E$113,"410",$AZ$4:$AZ$113)</f>
        <v>0</v>
      </c>
      <c r="BA121" s="115">
        <f>SUMIF($E$4:$E$113,"410",$BA$4:$BA$113)</f>
        <v>28237988</v>
      </c>
      <c r="BB121" s="115">
        <f>SUMIF($E$4:$E$113,"410",$BB$4:$BB$113)</f>
        <v>340095970</v>
      </c>
      <c r="BC121" s="115">
        <f>SUMIF($E$4:$E$113,"410",$BC$4:$BC$113)</f>
        <v>24460870</v>
      </c>
      <c r="BD121" s="115">
        <f>SUMIF($E$4:$E$113,"410",$BD$4:$BD$113)</f>
        <v>0</v>
      </c>
      <c r="BE121" s="115">
        <f>SUMIF($E$4:$E$113,"410",$BE$4:$BE$113)</f>
        <v>0</v>
      </c>
      <c r="BF121" s="115">
        <f>SUMIF($E$4:$E$113,"410",$BF$4:$BF$113)</f>
        <v>0</v>
      </c>
      <c r="BG121" s="115">
        <f>SUMIF($E$4:$E$113,"410",$BG$4:$BG$113)</f>
        <v>0</v>
      </c>
      <c r="BH121" s="115">
        <f>SUMIF($E$4:$E$113,"410",$BH$4:$BH$113)</f>
        <v>0</v>
      </c>
      <c r="BI121" s="115">
        <f>SUMIF($E$4:$E$113,"410",$BI$4:$BI$113)</f>
        <v>0</v>
      </c>
      <c r="BJ121" s="115">
        <f>SUMIF($E$4:$E$113,"410",$BJ$4:$BJ$113)</f>
        <v>0</v>
      </c>
      <c r="BK121" s="115">
        <f>SUMIF($E$4:$E$113,"410",$BK$4:$BK$113)</f>
        <v>987004484</v>
      </c>
      <c r="BL121" s="115">
        <f>SUMIF($E$4:$E$113,"410",$BL$4:$BL$113)</f>
        <v>0</v>
      </c>
      <c r="BM121" s="115">
        <f>SUMIF($E$4:$E$113,"410",$BM$4:$BM$113)</f>
        <v>0</v>
      </c>
      <c r="BN121" s="115">
        <f>SUMIF($E$4:$E$113,"410",$BN$4:$BN$113)</f>
        <v>97611349</v>
      </c>
      <c r="BO121" s="115">
        <f>SUMIF($E$4:$E$113,"510",$BO$4:$BO$113)</f>
        <v>0</v>
      </c>
      <c r="BP121" s="115">
        <f>SUMIF($E$4:$E$113,"410",$BP$4:$BP$113)</f>
        <v>0</v>
      </c>
      <c r="BQ121" s="115">
        <f>SUMIF($E$4:$E$113,"410",$BQ$4:$BQ$113)</f>
        <v>0</v>
      </c>
      <c r="BR121" s="115">
        <f>SUMIF($E$4:$E$113,"410",$BR$4:$BR$113)</f>
        <v>0</v>
      </c>
      <c r="BS121" s="116">
        <f>SUMIF($E$4:$E$113,"410",$BS$4:$BS$113)</f>
        <v>48614814</v>
      </c>
      <c r="BT121" s="117">
        <f t="shared" si="118"/>
        <v>0.63066378863197914</v>
      </c>
      <c r="BU121" s="25">
        <f t="shared" si="119"/>
        <v>4494789932</v>
      </c>
      <c r="BV121" s="112">
        <f>SUMIF($E$4:$E$113,"410",$BV$4:$BV$113)</f>
        <v>0</v>
      </c>
      <c r="BW121" s="112">
        <f>SUMIF($E$4:$E$113,"410",$BW$4:$BW$113)</f>
        <v>439799797</v>
      </c>
      <c r="BX121" s="112">
        <f>SUMIF($E$4:$E$113,"410",$BX$4:$BX$113)</f>
        <v>1672311308</v>
      </c>
      <c r="BY121" s="112">
        <f>SUMIF($E$4:$E$113,"410",$BY$4:$BY$113)</f>
        <v>209836688</v>
      </c>
      <c r="BZ121" s="112">
        <f>SUMIF($E$4:$E$113,"410",$BZ$4:$BZ$113)</f>
        <v>0</v>
      </c>
      <c r="CA121" s="112">
        <f>SUMIF($E$4:$E$113,"410",$CA$4:$CA$113)</f>
        <v>0</v>
      </c>
      <c r="CB121" s="112">
        <f>SUMIF($E$4:$E$113,"410",$CB$4:$CB$113)</f>
        <v>0</v>
      </c>
      <c r="CC121" s="112"/>
      <c r="CD121" s="112">
        <f>SUMIF($E$4:$E$113,"410",$CD$4:$CD$113)</f>
        <v>0</v>
      </c>
      <c r="CE121" s="112">
        <f>SUMIF($E$4:$E$113,"410",$CE$4:$CE$113)</f>
        <v>0</v>
      </c>
      <c r="CF121" s="112">
        <f>SUMIF($E$4:$E$113,"410",$CF$4:$CF$113)</f>
        <v>0</v>
      </c>
      <c r="CG121" s="112">
        <f>SUMIF($E$4:$E$113,"410",$CG$4:$CG$113)</f>
        <v>1903657930</v>
      </c>
      <c r="CH121" s="112">
        <f>SUMIF($E$4:$E$113,"410",$CH$4:$CH$113)</f>
        <v>0</v>
      </c>
      <c r="CI121" s="112">
        <f>SUMIF($E$4:$E$113,"410",$CI$4:$CI$113)</f>
        <v>0</v>
      </c>
      <c r="CJ121" s="112">
        <f>SUMIF($E$4:$E$113,"410",$CJ$4:$CJ$113)</f>
        <v>140434345</v>
      </c>
      <c r="CK121" s="112">
        <f>SUMIF($E$4:$E$113,"410",$CK$4:$CK$113)</f>
        <v>0</v>
      </c>
      <c r="CL121" s="112">
        <f>SUMIF($E$4:$E$113,"410",$CL$4:$CL$113)</f>
        <v>44864678</v>
      </c>
      <c r="CM121" s="112">
        <f>SUMIF($E$4:$E$113,"410",$CM$4:$CM$113)</f>
        <v>0</v>
      </c>
      <c r="CN121" s="112">
        <f>SUMIF($E$4:$E$113,"410",$CN$4:$CN$113)</f>
        <v>0</v>
      </c>
      <c r="CO121" s="118">
        <f>SUMIF($E$4:$E$113,"410",$CO$4:$CO$113)</f>
        <v>83885186</v>
      </c>
      <c r="CP121" s="23">
        <f t="shared" si="121"/>
        <v>0.36933621136802086</v>
      </c>
      <c r="CQ121" s="25">
        <f t="shared" si="122"/>
        <v>2632287939</v>
      </c>
      <c r="CR121" s="115">
        <f>SUMIF($E$4:$E$113,"410",$CR$4:$CR$113)</f>
        <v>0</v>
      </c>
      <c r="CS121" s="115">
        <f>SUMIF($E$4:$E$113,"410",$CS$4:$CS$113)</f>
        <v>60200203</v>
      </c>
      <c r="CT121" s="115">
        <f>SUMIF($E$4:$E$113,"410",$CT$4:$CT$113)</f>
        <v>877688692</v>
      </c>
      <c r="CU121" s="115">
        <f>SUMIF($E$4:$E$113,"410",$CU$4:$CU$113)</f>
        <v>24460870</v>
      </c>
      <c r="CV121" s="115">
        <f>SUMIF($E$4:$E$113,"410",$CV$4:$CV$113)</f>
        <v>0</v>
      </c>
      <c r="CW121" s="115">
        <f>SUMIF($E$4:$E$113,"410",$CW$4:$CW$113)</f>
        <v>0</v>
      </c>
      <c r="CX121" s="115">
        <f>SUMIF($E$4:$E$113,"410",$CX$4:$CX$113)</f>
        <v>0</v>
      </c>
      <c r="CY121" s="115">
        <f>SUMIF($E$4:$E$113,"410",$CY$4:$CY$113)</f>
        <v>0</v>
      </c>
      <c r="CZ121" s="119">
        <f>SUMIF($E$4:$E$113,"410",$CZ$4:$CZ$113)</f>
        <v>0</v>
      </c>
      <c r="DA121" s="119">
        <f>SUMIF($E$4:$E$113,"410",$DA$4:$DA$113)</f>
        <v>0</v>
      </c>
      <c r="DB121" s="119">
        <f>SUMIF($E$4:$E$113,"410",$DB$4:$DB$113)</f>
        <v>0</v>
      </c>
      <c r="DC121" s="119">
        <f>SUMIF($E$4:$E$113,"410",$DC$4:$DC$113)</f>
        <v>1253899884</v>
      </c>
      <c r="DD121" s="119">
        <f>SUMIF($E$4:$E$113,"410",$DD$4:$DD$113)</f>
        <v>0</v>
      </c>
      <c r="DE121" s="119">
        <f>SUMIF($E$4:$E$113,"410",$DE$4:$DE$113)</f>
        <v>0</v>
      </c>
      <c r="DF121" s="119">
        <f>SUMIF($E$4:$E$113,"410",$DF$4:$DF$113)</f>
        <v>286841413</v>
      </c>
      <c r="DG121" s="119">
        <f>SUMIF($E$4:$E$113,"410",$DG$4:$DG$113)</f>
        <v>0</v>
      </c>
      <c r="DH121" s="119">
        <f>SUMIF($E$4:$E$113,"410",$DH$4:$DH$113)</f>
        <v>75082063</v>
      </c>
      <c r="DI121" s="119">
        <f>SUMIF($E$4:$E$113,"410",$DI$4:$DI$113)</f>
        <v>0</v>
      </c>
      <c r="DJ121" s="119">
        <f>SUMIF($E$4:$E$113,"410",$DJ$4:$DJ$113)</f>
        <v>0</v>
      </c>
      <c r="DK121" s="119">
        <f>SUMIF($E$4:$E$113,"410",$DK$4:$DK$113)</f>
        <v>54114814</v>
      </c>
      <c r="DM121" s="26">
        <f t="shared" si="123"/>
        <v>7127077871</v>
      </c>
      <c r="DN121" s="26">
        <f t="shared" si="124"/>
        <v>7127077871</v>
      </c>
      <c r="DO121" s="26">
        <f t="shared" si="125"/>
        <v>7127077871</v>
      </c>
    </row>
    <row r="122" spans="1:120" ht="14.25" customHeight="1" x14ac:dyDescent="0.25">
      <c r="C122" s="121"/>
      <c r="D122" s="122" t="s">
        <v>360</v>
      </c>
      <c r="E122" s="103">
        <v>510</v>
      </c>
      <c r="F122" s="111"/>
      <c r="G122" s="112">
        <f>SUMIF($E$4:$E$113,"510",$G$4:$G$113)</f>
        <v>1580182191</v>
      </c>
      <c r="H122" s="113">
        <f>SUMIF($E$4:$E$113,"510",$H$4:$H$113)</f>
        <v>0</v>
      </c>
      <c r="I122" s="113">
        <f>SUMIF($E$4:$E$114,"510",$I$4:$I$114)</f>
        <v>760954283</v>
      </c>
      <c r="J122" s="112">
        <f>SUMIF($E$4:$E$113,"510",$J$4:$J$113)</f>
        <v>250000000</v>
      </c>
      <c r="K122" s="112">
        <f>SUMIF($E$4:$E$113,"510",$K$4:$K$113)</f>
        <v>48738920</v>
      </c>
      <c r="L122" s="111">
        <f>SUMIF($E$4:$E$113,"510",$L$4:$L$113)</f>
        <v>0</v>
      </c>
      <c r="M122" s="111">
        <f>SUMIF($E$4:$E$113,"510",$M$4:$M$113)</f>
        <v>0</v>
      </c>
      <c r="N122" s="111">
        <f>SUMIF($E$4:$E$113,"510",$N$4:$N$113)</f>
        <v>0</v>
      </c>
      <c r="O122" s="111">
        <f>SUMIF($E$4:$E$113,"510",$O$4:$O$113)</f>
        <v>0</v>
      </c>
      <c r="P122" s="111">
        <f>SUMIF($E$4:$E$113,"510",$P$4:$P$113)</f>
        <v>0</v>
      </c>
      <c r="Q122" s="111">
        <f>SUMIF($E$4:$E$113,"510",$Q$4:$Q$113)</f>
        <v>0</v>
      </c>
      <c r="R122" s="111">
        <f>SUMIF($E$4:$E$113,"510",$R$4:$R$113)</f>
        <v>0</v>
      </c>
      <c r="S122" s="111">
        <f>SUMIF($E$4:$E$113,"510",$S$4:$S$113)</f>
        <v>0</v>
      </c>
      <c r="T122" s="111">
        <f>SUMIF($E$4:$E$113,"510",$T$4:$T$113)</f>
        <v>0</v>
      </c>
      <c r="U122" s="111">
        <f>SUMIF($E$4:$E$113,"510",$U$4:$U$113)</f>
        <v>278034610</v>
      </c>
      <c r="V122" s="111">
        <f>SUMIF($E$4:$E$113,"510",$V$4:$V$113)</f>
        <v>61000000</v>
      </c>
      <c r="W122" s="111">
        <f>SUMIF($E$4:$E$106,"510",$W$4:$W$106)</f>
        <v>0</v>
      </c>
      <c r="X122" s="111"/>
      <c r="Y122" s="111">
        <f>SUMIF($E$4:$E$113,"510",$Y$4:$Y$113)</f>
        <v>0</v>
      </c>
      <c r="Z122" s="111">
        <f>SUMIF($E$4:$E$113,"510",$Z$4:$Z$113)</f>
        <v>0</v>
      </c>
      <c r="AA122" s="111">
        <f>SUMIF($E$4:$E$113,"510",$AA$4:$AA$113)</f>
        <v>181454378</v>
      </c>
      <c r="AB122" s="114">
        <f t="shared" si="114"/>
        <v>0.90417819295623236</v>
      </c>
      <c r="AC122" s="25">
        <f t="shared" si="115"/>
        <v>1428766278</v>
      </c>
      <c r="AD122" s="112">
        <f>SUMIF($E$4:$E$113,"510",$AD$4:$AD$113)</f>
        <v>0</v>
      </c>
      <c r="AE122" s="112">
        <f>SUMIF($E$4:$E$113,"510",$AE$4:$AE$113)</f>
        <v>736247498</v>
      </c>
      <c r="AF122" s="112">
        <f>SUMIF($E$4:$E$113,"510",$AF$4:$AF$113)</f>
        <v>192366571</v>
      </c>
      <c r="AG122" s="112">
        <f>SUMIF($E$4:$E$113,"510",$AG$4:$AG$113)</f>
        <v>48738920</v>
      </c>
      <c r="AH122" s="112">
        <f>SUMIF($E$4:$E$113,"510",$AH$4:$AH$113)</f>
        <v>0</v>
      </c>
      <c r="AI122" s="112">
        <f>SUMIF($E$4:$E$113,"510",$AI$4:$AI$113)</f>
        <v>0</v>
      </c>
      <c r="AJ122" s="112">
        <f>SUMIF($E$4:$E$113,"510",$AJ$4:$AJ$113)</f>
        <v>0</v>
      </c>
      <c r="AK122" s="112">
        <f>SUMIF($E$4:$E$113,"510",$AK$4:$AK$113)</f>
        <v>0</v>
      </c>
      <c r="AL122" s="112">
        <f>SUMIF($E$4:$E$113,"510",$AL$4:$AL$113)</f>
        <v>0</v>
      </c>
      <c r="AM122" s="112">
        <f>SUMIF($E$4:$E$113,"510",$AM$4:$AM$113)</f>
        <v>0</v>
      </c>
      <c r="AN122" s="112">
        <f>SUMIF($E$4:$E$113,"510",$AN$4:$AN$113)</f>
        <v>0</v>
      </c>
      <c r="AO122" s="112">
        <f>SUMIF($E$4:$E$113,"510",$AO$4:$AO$113)</f>
        <v>0</v>
      </c>
      <c r="AP122" s="112">
        <f>SUMIF($E$4:$E$113,"510",$AP$4:$AP$113)</f>
        <v>0</v>
      </c>
      <c r="AQ122" s="112">
        <f>SUMIF($E$4:$E$113,"510",$AQ$4:$AQ$113)</f>
        <v>278034610</v>
      </c>
      <c r="AR122" s="112">
        <f>SUMIF($E$4:$E$113,"510",$AR$4:$AR$113)</f>
        <v>50000000</v>
      </c>
      <c r="AS122" s="112">
        <f>SUMIF($E$4:$E$113,"510",$AS$4:$AS$113)</f>
        <v>0</v>
      </c>
      <c r="AT122" s="112">
        <f>SUMIF($E$4:$E$113,"510",$AT$4:$AT$113)</f>
        <v>0</v>
      </c>
      <c r="AU122" s="112">
        <f>SUMIF($E$4:$E$113,"510",$AU$4:$AU$113)</f>
        <v>0</v>
      </c>
      <c r="AV122" s="112">
        <f>SUMIF($E$4:$E$113," 510",$AV$4:$AV$113)</f>
        <v>0</v>
      </c>
      <c r="AW122" s="112">
        <f>SUMIF($E$4:$E$113,"510",$AW$4:$AW$113)</f>
        <v>123378679</v>
      </c>
      <c r="AX122" s="97">
        <f t="shared" si="116"/>
        <v>9.5821807043767637E-2</v>
      </c>
      <c r="AY122" s="25">
        <f t="shared" si="117"/>
        <v>151415913</v>
      </c>
      <c r="AZ122" s="115">
        <f>SUMIF($E$4:$E$113,"510",$AZ$4:$AZ$113)</f>
        <v>0</v>
      </c>
      <c r="BA122" s="115">
        <f>SUMIF($E$4:$E$113,"510",$BA$4:$BA$113)</f>
        <v>24706785</v>
      </c>
      <c r="BB122" s="115">
        <f>SUMIF($E$4:$E$113,"510",$BB$4:$BB$113)</f>
        <v>57633429</v>
      </c>
      <c r="BC122" s="115">
        <f>SUMIF($E$4:$E$113,"510",$BC$4:$BC$113)</f>
        <v>0</v>
      </c>
      <c r="BD122" s="115">
        <f>SUMIF($E$4:$E$113,"510",$BD$4:$BD$113)</f>
        <v>0</v>
      </c>
      <c r="BE122" s="115">
        <f>SUMIF($E$4:$E$113,"510",$BE$4:$BE$113)</f>
        <v>0</v>
      </c>
      <c r="BF122" s="115">
        <f>SUMIF($E$4:$E$113,"510",$BF$4:$BF$113)</f>
        <v>0</v>
      </c>
      <c r="BG122" s="115">
        <f>SUMIF($E$4:$E$113,"510",$BG$4:$BG$113)</f>
        <v>0</v>
      </c>
      <c r="BH122" s="115">
        <f>SUMIF($E$4:$E$113,"510",$BH$4:$BH$113)</f>
        <v>0</v>
      </c>
      <c r="BI122" s="115">
        <f>SUMIF($E$4:$E$113,"510",$BI$4:$BI$113)</f>
        <v>0</v>
      </c>
      <c r="BJ122" s="115">
        <f>SUMIF($E$4:$E$113,"510",$BJ$4:$BJ$113)</f>
        <v>0</v>
      </c>
      <c r="BK122" s="115">
        <f>SUMIF($E$4:$E$113,"510",$BK$4:$BK$113)</f>
        <v>0</v>
      </c>
      <c r="BL122" s="115">
        <f>SUMIF($E$4:$E$113,"510",$BL$4:$BL$113)</f>
        <v>0</v>
      </c>
      <c r="BM122" s="115">
        <f>SUMIF($E$4:$E$113,"510",$BM$4:$BM$113)</f>
        <v>0</v>
      </c>
      <c r="BN122" s="115">
        <f>SUMIF($E$4:$E$113,"510",$BN$4:$BN$113)</f>
        <v>11000000</v>
      </c>
      <c r="BO122" s="115">
        <f>SUMIF($E$4:$E$113,"520",$BO$4:$BO$113)</f>
        <v>0</v>
      </c>
      <c r="BP122" s="115">
        <f>SUMIF($E$4:$E$113,"510",$BP$4:$BP$113)</f>
        <v>0</v>
      </c>
      <c r="BQ122" s="115">
        <f>SUMIF($E$4:$E$113,"510",$BQ$4:$BQ$113)</f>
        <v>0</v>
      </c>
      <c r="BR122" s="115">
        <f>SUMIF($E$4:$E$113,"510",$BR$4:$BR$113)</f>
        <v>0</v>
      </c>
      <c r="BS122" s="116">
        <f>SUMIF($E$4:$E$113,"510",$BS$4:$BS$113)</f>
        <v>58075699</v>
      </c>
      <c r="BT122" s="117">
        <f t="shared" si="118"/>
        <v>0.68563438834503354</v>
      </c>
      <c r="BU122" s="25">
        <f t="shared" si="119"/>
        <v>1083427250</v>
      </c>
      <c r="BV122" s="112">
        <f>SUMIF($E$4:$E$113,"510",$BV$4:$BV$113)</f>
        <v>0</v>
      </c>
      <c r="BW122" s="112">
        <f>SUMIF($E$4:$E$113,"510",$BW$4:$BW$113)</f>
        <v>624188445</v>
      </c>
      <c r="BX122" s="112">
        <f>SUMIF($E$4:$E$113,"510",$BX$4:$BX$113)</f>
        <v>102837040</v>
      </c>
      <c r="BY122" s="112">
        <f>SUMIF($E$4:$E$113,"510",$BY$4:$BY$113)</f>
        <v>42487847</v>
      </c>
      <c r="BZ122" s="112">
        <f>SUMIF($E$4:$E$113,"510",$BZ$4:$BZ$113)</f>
        <v>0</v>
      </c>
      <c r="CA122" s="112">
        <f>SUMIF($E$4:$E$113,"510",$CA$4:$CA$113)</f>
        <v>0</v>
      </c>
      <c r="CB122" s="112">
        <f>SUMIF($E$4:$E$113,"510",$CB$4:$CB$113)</f>
        <v>0</v>
      </c>
      <c r="CC122" s="112"/>
      <c r="CD122" s="112">
        <f>SUMIF($E$4:$E$113,"510",$CD$4:$CD$113)</f>
        <v>0</v>
      </c>
      <c r="CE122" s="112">
        <f>SUMIF($E$4:$E$113,"510",$CE$4:$CE$113)</f>
        <v>0</v>
      </c>
      <c r="CF122" s="112">
        <f>SUMIF($E$4:$E$113,"510",$CF$4:$CF$113)</f>
        <v>0</v>
      </c>
      <c r="CG122" s="112">
        <f>SUMIF($E$4:$E$113,"510",$CG$4:$CG$113)</f>
        <v>0</v>
      </c>
      <c r="CH122" s="112">
        <f>SUMIF($E$4:$E$113,"510",$CH$4:$CH$113)</f>
        <v>0</v>
      </c>
      <c r="CI122" s="112">
        <f>SUMIF($E$4:$E$113,"510",$CI$4:$CI$113)</f>
        <v>183990671</v>
      </c>
      <c r="CJ122" s="112">
        <f>SUMIF($E$4:$E$113,"510",$CJ$4:$CJ$113)</f>
        <v>50000000</v>
      </c>
      <c r="CK122" s="112">
        <f>SUMIF($E$4:$E$113,"510",$CK$4:$CK$113)</f>
        <v>0</v>
      </c>
      <c r="CL122" s="112">
        <f>SUMIF($E$4:$E$113,"111",$CL$4:$CL$113)</f>
        <v>0</v>
      </c>
      <c r="CM122" s="112">
        <f>SUMIF($E$4:$E$113,"510",$CM$4:$CM$113)</f>
        <v>0</v>
      </c>
      <c r="CN122" s="112">
        <f>SUMIF($E$4:$E$113,"510",$CN$4:$CN$113)</f>
        <v>0</v>
      </c>
      <c r="CO122" s="118">
        <f>SUMIF($E$4:$E$113,"510",$CO$4:$CO$113)</f>
        <v>79923247</v>
      </c>
      <c r="CP122" s="23">
        <f t="shared" si="121"/>
        <v>0.31436561165496646</v>
      </c>
      <c r="CQ122" s="25">
        <f t="shared" si="122"/>
        <v>496754941</v>
      </c>
      <c r="CR122" s="115">
        <f>SUMIF($E$4:$E$113,"510",$CR$4:$CR$113)</f>
        <v>0</v>
      </c>
      <c r="CS122" s="115">
        <f>SUMIF($E$4:$E$113,"510",$CS$4:$CS$113)</f>
        <v>136765838</v>
      </c>
      <c r="CT122" s="115">
        <f>SUMIF($E$4:$E$113,"510",$CT$4:$CT$113)</f>
        <v>147162960</v>
      </c>
      <c r="CU122" s="115">
        <f>SUMIF($E$4:$E$113,"510",$CU$4:$CU$113)</f>
        <v>6251073</v>
      </c>
      <c r="CV122" s="115">
        <f>SUMIF($E$4:$E$113,"510",$CV$4:$CV$113)</f>
        <v>0</v>
      </c>
      <c r="CW122" s="115">
        <f>SUMIF($E$4:$E$113,"510",$CW$4:$CW$113)</f>
        <v>0</v>
      </c>
      <c r="CX122" s="115">
        <f>SUMIF($E$4:$E$113,"510",$CX$4:$CX$113)</f>
        <v>0</v>
      </c>
      <c r="CY122" s="115">
        <f>SUMIF($E$4:$E$113,"510",$CY$4:$CY$113)</f>
        <v>0</v>
      </c>
      <c r="CZ122" s="119">
        <f>SUMIF($E$4:$E$113,"510",$CZ$4:$CZ$113)</f>
        <v>0</v>
      </c>
      <c r="DA122" s="119">
        <f>SUMIF($E$4:$E$113,"510",$DA$4:$DA$113)</f>
        <v>0</v>
      </c>
      <c r="DB122" s="119">
        <f>SUMIF($E$4:$E$113,"510",$DB$4:$DB$113)</f>
        <v>0</v>
      </c>
      <c r="DC122" s="119">
        <f>SUMIF($E$4:$E$113,"510",$DC$4:$DC$113)</f>
        <v>0</v>
      </c>
      <c r="DD122" s="119">
        <f>SUMIF($E$4:$E$113,"510",$DD$4:$DD$113)</f>
        <v>0</v>
      </c>
      <c r="DE122" s="119">
        <f>SUMIF($E$4:$E$113,"510",$DE$4:$DE$113)</f>
        <v>94043939</v>
      </c>
      <c r="DF122" s="119">
        <f>SUMIF($E$4:$E$113,"510",$DF$4:$DF$113)</f>
        <v>11000000</v>
      </c>
      <c r="DG122" s="119">
        <f>SUMIF($E$4:$E$113,"510",$DG$4:$DG$113)</f>
        <v>0</v>
      </c>
      <c r="DH122" s="119">
        <f>SUMIF($E$4:$E$113,"510",$DH$4:$DH$113)</f>
        <v>0</v>
      </c>
      <c r="DI122" s="119">
        <f>SUMIF($E$4:$E$113,"510",$DI$4:$DI$113)</f>
        <v>0</v>
      </c>
      <c r="DJ122" s="119">
        <f>SUMIF($E$4:$E$113,"510",$DJ$4:$DJ$113)</f>
        <v>0</v>
      </c>
      <c r="DK122" s="119">
        <f>SUMIF($E$4:$E$113,"510",$DK$4:$DK$113)</f>
        <v>101531131</v>
      </c>
      <c r="DM122" s="26">
        <f t="shared" si="123"/>
        <v>1580182191</v>
      </c>
      <c r="DN122" s="26">
        <f t="shared" si="124"/>
        <v>1580182191</v>
      </c>
      <c r="DO122" s="26">
        <f t="shared" si="125"/>
        <v>1580182191</v>
      </c>
    </row>
    <row r="123" spans="1:120" x14ac:dyDescent="0.25">
      <c r="C123" s="121"/>
      <c r="D123" s="110" t="s">
        <v>361</v>
      </c>
      <c r="E123" s="103">
        <v>520</v>
      </c>
      <c r="F123" s="111"/>
      <c r="G123" s="112">
        <f>SUMIF($E$4:$E$113,"520",$G$4:$G$113)</f>
        <v>2532390317</v>
      </c>
      <c r="H123" s="113">
        <f>SUMIF($E$4:$E$113,"520",$H$4:$H$113)</f>
        <v>0</v>
      </c>
      <c r="I123" s="113">
        <f>SUMIF($E$4:$E$113,"520",$I$4:$I$113)</f>
        <v>422000000</v>
      </c>
      <c r="J123" s="112">
        <f>SUMIF($E$4:$E$113,"520",$J$4:$J$113)</f>
        <v>0</v>
      </c>
      <c r="K123" s="112">
        <f>SUMIF($E$4:$E$113,"520",$K$4:$K$113)</f>
        <v>0</v>
      </c>
      <c r="L123" s="111">
        <f>SUMIF($E$4:$E$113,"520",$L$4:$L$113)</f>
        <v>0</v>
      </c>
      <c r="M123" s="111">
        <f>SUMIF($E$4:$E$113,"520",$M$4:$M$113)</f>
        <v>0</v>
      </c>
      <c r="N123" s="111">
        <f>SUMIF($E$4:$E$113,"520",$N$4:$N$113)</f>
        <v>0</v>
      </c>
      <c r="O123" s="111">
        <f>SUMIF($E$4:$E$113,"520",$O$4:$O$113)</f>
        <v>0</v>
      </c>
      <c r="P123" s="111">
        <f>SUMIF($E$4:$E$113,"520",$P$4:$P$113)</f>
        <v>0</v>
      </c>
      <c r="Q123" s="111">
        <f>SUMIF($E$4:$E$113,"520",$Q$4:$Q$113)</f>
        <v>0</v>
      </c>
      <c r="R123" s="111">
        <f>SUMIF($E$4:$E$113,"520",$R$4:$R$113)</f>
        <v>0</v>
      </c>
      <c r="S123" s="111">
        <f>SUMIF($E$4:$E$113,"520",$S$4:$S$113)</f>
        <v>1018432040</v>
      </c>
      <c r="T123" s="111">
        <f>SUMIF($E$4:$E$113,"520",$T$4:$T$113)</f>
        <v>0</v>
      </c>
      <c r="U123" s="111">
        <f>SUMIF($E$4:$E$113,"520",$U$4:$U$113)</f>
        <v>100000000</v>
      </c>
      <c r="V123" s="111">
        <f>SUMIF($E$4:$E$113,"520",$V$4:$V$113)</f>
        <v>272084973</v>
      </c>
      <c r="W123" s="111">
        <f>SUMIF($E$4:$E$106,"520",$W$4:$W$106)</f>
        <v>0</v>
      </c>
      <c r="X123" s="111"/>
      <c r="Y123" s="111">
        <f>SUMIF($E$4:$E$113,"520",$Y$4:$Y$113)</f>
        <v>0</v>
      </c>
      <c r="Z123" s="111">
        <f>SUMIF($E$4:$E$113,"520",$Z$4:$Z$113)</f>
        <v>0</v>
      </c>
      <c r="AA123" s="111">
        <f>SUMIF($E$4:$E$113,"520",$AA$4:$AA$113)</f>
        <v>719873304</v>
      </c>
      <c r="AB123" s="114">
        <f t="shared" si="114"/>
        <v>0.84900847612899788</v>
      </c>
      <c r="AC123" s="25">
        <f t="shared" si="115"/>
        <v>2150020844</v>
      </c>
      <c r="AD123" s="112">
        <f>SUMIF($E$4:$E$113,"520",$AD$4:$AD$113)</f>
        <v>0</v>
      </c>
      <c r="AE123" s="112">
        <f>SUMIF($E$4:$E$113,"520",$AE$4:$AE$113)</f>
        <v>399043533</v>
      </c>
      <c r="AF123" s="112">
        <f>SUMIF($E$4:$E$113,"520",$AF$4:$AF$113)</f>
        <v>0</v>
      </c>
      <c r="AG123" s="112">
        <f>SUMIF($E$4:$E$113,"520",$AG$4:$AG$113)</f>
        <v>0</v>
      </c>
      <c r="AH123" s="112">
        <f>SUMIF($E$4:$E$113,"520",$AH$4:$AH$113)</f>
        <v>0</v>
      </c>
      <c r="AI123" s="112">
        <f>SUMIF($E$4:$E$113,"520",$AI$4:$AI$113)</f>
        <v>0</v>
      </c>
      <c r="AJ123" s="112">
        <f>SUMIF($E$4:$E$113,"520",$AJ$4:$AJ$113)</f>
        <v>0</v>
      </c>
      <c r="AK123" s="112">
        <f>SUMIF($E$4:$E$113,"520",$AK$4:$AK$113)</f>
        <v>0</v>
      </c>
      <c r="AL123" s="112">
        <f>SUMIF($E$4:$E$113,"520",$AL$4:$AL$113)</f>
        <v>0</v>
      </c>
      <c r="AM123" s="112">
        <f>SUMIF($E$4:$E$113,"520",$AM$4:$AM$113)</f>
        <v>0</v>
      </c>
      <c r="AN123" s="112">
        <f>SUMIF($E$4:$E$113,"520",$AN$4:$AN$113)</f>
        <v>0</v>
      </c>
      <c r="AO123" s="112">
        <f>SUMIF($E$4:$E$113,"520",$AO$4:$AO$113)</f>
        <v>780745920</v>
      </c>
      <c r="AP123" s="112">
        <f>SUMIF($E$4:$E$113,"520",$AP$4:$AP$113)</f>
        <v>0</v>
      </c>
      <c r="AQ123" s="112">
        <f>SUMIF($E$4:$E$113,"520",$AQ$4:$AQ$113)</f>
        <v>100000000</v>
      </c>
      <c r="AR123" s="112">
        <f>SUMIF($E$4:$E$113,"520",$AR$4:$AR$113)</f>
        <v>239883201</v>
      </c>
      <c r="AS123" s="112">
        <f>SUMIF($E$4:$E$113,"520",$AS$4:$AS$113)</f>
        <v>0</v>
      </c>
      <c r="AT123" s="112">
        <f>SUMIF($E$4:$E$113,"520",$AT$4:$AT$113)</f>
        <v>0</v>
      </c>
      <c r="AU123" s="112">
        <f>SUMIF($E$4:$E$113,"520",$AU$4:$AU$113)</f>
        <v>0</v>
      </c>
      <c r="AV123" s="112">
        <f>SUMIF($E$4:$E$113,"520",$AV$4:$AV$113)</f>
        <v>0</v>
      </c>
      <c r="AW123" s="112">
        <f>SUMIF($E$4:$E$113,"520",$AW$4:$AW$113)</f>
        <v>630348190</v>
      </c>
      <c r="AX123" s="97">
        <f t="shared" si="116"/>
        <v>0.15099152387100212</v>
      </c>
      <c r="AY123" s="25">
        <f t="shared" si="117"/>
        <v>382369473</v>
      </c>
      <c r="AZ123" s="115">
        <f>SUMIF($E$4:$E$113,"520",$AZ$4:$AZ$113)</f>
        <v>0</v>
      </c>
      <c r="BA123" s="115">
        <f>SUMIF($E$4:$E$113,"520",$BA$4:$BA$113)</f>
        <v>22956467</v>
      </c>
      <c r="BB123" s="115">
        <f>SUMIF($E$4:$E$113,"520",$BB$4:$BB$113)</f>
        <v>0</v>
      </c>
      <c r="BC123" s="115">
        <f>SUMIF($E$4:$E$113,"520",$BC$4:$BC$113)</f>
        <v>0</v>
      </c>
      <c r="BD123" s="115">
        <f>SUMIF($E$4:$E$113,"520",$BD$4:$BD$113)</f>
        <v>0</v>
      </c>
      <c r="BE123" s="115">
        <f>SUMIF($E$4:$E$113,"520",$BE$4:$BE$113)</f>
        <v>0</v>
      </c>
      <c r="BF123" s="115">
        <f>SUMIF($E$4:$E$113,"520",$BF$4:$BF$113)</f>
        <v>0</v>
      </c>
      <c r="BG123" s="115">
        <f>SUMIF($E$4:$E$113,"520",$BG$4:$BG$113)</f>
        <v>0</v>
      </c>
      <c r="BH123" s="115">
        <f>SUMIF($E$4:$E$113,"520",$BH$4:$BH$113)</f>
        <v>0</v>
      </c>
      <c r="BI123" s="115">
        <f>SUMIF($E$4:$E$113,"520",$BI$4:$BI$113)</f>
        <v>0</v>
      </c>
      <c r="BJ123" s="115">
        <f>SUMIF($E$4:$E$113,"520",$BJ$4:$BJ$113)</f>
        <v>0</v>
      </c>
      <c r="BK123" s="115">
        <f>SUMIF($E$4:$E$113,"520",$BK$4:$BK$113)</f>
        <v>237686120</v>
      </c>
      <c r="BL123" s="115">
        <f>SUMIF($E$4:$E$113,"520",$BL$4:$BL$113)</f>
        <v>0</v>
      </c>
      <c r="BM123" s="115">
        <f>SUMIF($E$4:$E$113,"520",$BM$4:$BM$113)</f>
        <v>0</v>
      </c>
      <c r="BN123" s="115">
        <f>SUMIF($E$4:$E$113,"520",$BN$4:$BN$113)</f>
        <v>32201772</v>
      </c>
      <c r="BO123" s="115">
        <f>SUMIF($E$4:$E$113,"111",$BO$4:$BO$113)</f>
        <v>0</v>
      </c>
      <c r="BP123" s="115">
        <f>SUMIF($E$4:$E$113,"520",$BP$4:$BP$113)</f>
        <v>0</v>
      </c>
      <c r="BQ123" s="115">
        <f>SUMIF($E$4:$E$113,"520",$BQ$4:$BQ$113)</f>
        <v>0</v>
      </c>
      <c r="BR123" s="115">
        <f>SUMIF($E$4:$E$113,"520",$BR$4:$BR$113)</f>
        <v>0</v>
      </c>
      <c r="BS123" s="116">
        <f>SUMIF($E$4:$E$113,"520",$BS$4:$BS$113)</f>
        <v>89525114</v>
      </c>
      <c r="BT123" s="117">
        <f t="shared" si="118"/>
        <v>0.74558850044757929</v>
      </c>
      <c r="BU123" s="25">
        <f t="shared" si="119"/>
        <v>1888121099</v>
      </c>
      <c r="BV123" s="112">
        <f>SUMIF($E$4:$E$113,"520",$BV$4:$BV$113)</f>
        <v>0</v>
      </c>
      <c r="BW123" s="112">
        <f>SUMIF($E$4:$E$113,"520",$BW$4:$BW$113)</f>
        <v>376948878</v>
      </c>
      <c r="BX123" s="112">
        <f>SUMIF($E$4:$E$113,"520",$BX$4:$BX$113)</f>
        <v>0</v>
      </c>
      <c r="BY123" s="112">
        <f>SUMIF($E$4:$E$113,"520",$BY$4:$BY$113)</f>
        <v>0</v>
      </c>
      <c r="BZ123" s="112">
        <f>SUMIF($E$4:$E$113,"520",$BZ$4:$BZ$113)</f>
        <v>0</v>
      </c>
      <c r="CA123" s="112">
        <f>SUMIF($E$4:$E$113,"520",$CA$4:$CA$113)</f>
        <v>0</v>
      </c>
      <c r="CB123" s="112">
        <f>SUMIF($E$4:$E$113,"520",$CB$4:$CB$113)</f>
        <v>0</v>
      </c>
      <c r="CC123" s="112"/>
      <c r="CD123" s="112">
        <f>SUMIF($E$4:$E$113,"520",$CD$4:$CD$113)</f>
        <v>0</v>
      </c>
      <c r="CE123" s="112">
        <f>SUMIF($E$4:$E$113,"520",$CE$4:$CE$113)</f>
        <v>0</v>
      </c>
      <c r="CF123" s="112">
        <f>SUMIF($E$4:$E$113,"520",$CF$4:$CF$113)</f>
        <v>0</v>
      </c>
      <c r="CG123" s="112">
        <f>SUMIF($E$4:$E$113,"520",$CG$4:$CG$113)</f>
        <v>776599252</v>
      </c>
      <c r="CH123" s="112">
        <f>SUMIF($E$4:$E$113,"520",$CH$4:$CH$113)</f>
        <v>0</v>
      </c>
      <c r="CI123" s="112">
        <f>SUMIF($E$4:$E$113,"520",$CI$4:$CI$113)</f>
        <v>60640760</v>
      </c>
      <c r="CJ123" s="112">
        <f>SUMIF($E$4:$E$113,"520",$CJ$4:$CJ$113)</f>
        <v>140473723</v>
      </c>
      <c r="CK123" s="112">
        <f>SUMIF($E$4:$E$113,"520",$CK$4:$CK$113)</f>
        <v>0</v>
      </c>
      <c r="CL123" s="112">
        <f>SUMIF($E$4:$E$113,"111",$CL$4:$CL$113)</f>
        <v>0</v>
      </c>
      <c r="CM123" s="112">
        <f>SUMIF($E$4:$E$113,"520",$CM$4:$CM$113)</f>
        <v>0</v>
      </c>
      <c r="CN123" s="112">
        <f>SUMIF($E$4:$E$113,"520",$CN$4:$CN$113)</f>
        <v>0</v>
      </c>
      <c r="CO123" s="118">
        <f>SUMIF($E$4:$E$113,"520",$CO$4:$CO$113)</f>
        <v>533458486</v>
      </c>
      <c r="CP123" s="23">
        <f t="shared" si="121"/>
        <v>0.25441149955242071</v>
      </c>
      <c r="CQ123" s="25">
        <f t="shared" si="122"/>
        <v>644269218</v>
      </c>
      <c r="CR123" s="115">
        <f>SUMIF($E$4:$E$113,"520",$CR$4:$CR$113)</f>
        <v>0</v>
      </c>
      <c r="CS123" s="115">
        <f>SUMIF($E$4:$E$113,"520",$CS$4:$CS$113)</f>
        <v>45051122</v>
      </c>
      <c r="CT123" s="115">
        <f>SUMIF($E$4:$E$113,"520",$CT$4:$CT$113)</f>
        <v>0</v>
      </c>
      <c r="CU123" s="115">
        <f>SUMIF($E$4:$E$113,"520",$CU$4:$CU$113)</f>
        <v>0</v>
      </c>
      <c r="CV123" s="115">
        <f>SUMIF($E$4:$E$113,"520",$CV$4:$CV$113)</f>
        <v>0</v>
      </c>
      <c r="CW123" s="115">
        <f>SUMIF($E$4:$E$113,"520",$CW$4:$CW$113)</f>
        <v>0</v>
      </c>
      <c r="CX123" s="115">
        <f>SUMIF($E$4:$E$113,"520",$CX$4:$CX$113)</f>
        <v>0</v>
      </c>
      <c r="CY123" s="115">
        <f>SUMIF($E$4:$E$113,"520",$CY$4:$CY$113)</f>
        <v>0</v>
      </c>
      <c r="CZ123" s="119">
        <f>SUMIF($E$4:$E$113,"520",$CZ$4:$CZ$113)</f>
        <v>0</v>
      </c>
      <c r="DA123" s="119">
        <f>SUMIF($E$4:$E$113,"520",$DA$4:$DA$113)</f>
        <v>0</v>
      </c>
      <c r="DB123" s="119">
        <f>SUMIF($E$4:$E$113,"520",$DB$4:$DB$113)</f>
        <v>0</v>
      </c>
      <c r="DC123" s="119">
        <f>SUMIF($E$4:$E$113,"520",$DC$4:$DC$113)</f>
        <v>241832788</v>
      </c>
      <c r="DD123" s="119">
        <f>SUMIF($E$4:$E$113,"520",$DD$4:$DD$113)</f>
        <v>0</v>
      </c>
      <c r="DE123" s="119">
        <f>SUMIF($E$4:$E$113,"520",$DE$4:$DE$113)</f>
        <v>39359240</v>
      </c>
      <c r="DF123" s="119">
        <f>SUMIF($E$4:$E$113,"520",$DF$4:$DF$113)</f>
        <v>131611250</v>
      </c>
      <c r="DG123" s="119">
        <f>SUMIF($E$4:$E$113,"520",$DG$4:$DG$113)</f>
        <v>0</v>
      </c>
      <c r="DH123" s="119">
        <f>SUMIF($E$4:$E$113,"520",$DH$4:$DH$113)</f>
        <v>0</v>
      </c>
      <c r="DI123" s="119">
        <f>SUMIF($E$4:$E$113,"520",$DI$4:$DI$113)</f>
        <v>0</v>
      </c>
      <c r="DJ123" s="119">
        <f>SUMIF($E$4:$E$113,"520",$DJ$4:$DJ$113)</f>
        <v>0</v>
      </c>
      <c r="DK123" s="119">
        <f>SUMIF($E$4:$E$113,"520",$DK$4:$DK$113)</f>
        <v>186414818</v>
      </c>
      <c r="DM123" s="26">
        <f t="shared" si="123"/>
        <v>2532390317</v>
      </c>
      <c r="DN123" s="26">
        <f t="shared" si="124"/>
        <v>2532390317</v>
      </c>
      <c r="DO123" s="26">
        <f t="shared" si="125"/>
        <v>2532390317</v>
      </c>
    </row>
    <row r="124" spans="1:120" x14ac:dyDescent="0.25">
      <c r="C124" s="121"/>
      <c r="D124" s="110" t="s">
        <v>362</v>
      </c>
      <c r="E124" s="103" t="s">
        <v>334</v>
      </c>
      <c r="F124" s="111"/>
      <c r="G124" s="112">
        <f>SUMIF($E$4:$E$113,"520-2",$G$4:$G$113)</f>
        <v>823639235</v>
      </c>
      <c r="H124" s="113"/>
      <c r="I124" s="113"/>
      <c r="J124" s="113"/>
      <c r="K124" s="112">
        <f>SUMIF($E$4:$E$113,"520-2",$K$4:$K$113)</f>
        <v>0</v>
      </c>
      <c r="L124" s="113"/>
      <c r="M124" s="113"/>
      <c r="N124" s="111">
        <f>SUMIF($E$4:$E$113,"520-2",$N$4:$N$113)</f>
        <v>0</v>
      </c>
      <c r="O124" s="113"/>
      <c r="P124" s="113"/>
      <c r="Q124" s="113"/>
      <c r="R124" s="113"/>
      <c r="S124" s="113"/>
      <c r="T124" s="113"/>
      <c r="U124" s="111">
        <f>SUMIF($E$4:$E$113,"520-2",$U$4:$U$113)</f>
        <v>123182603</v>
      </c>
      <c r="V124" s="113"/>
      <c r="W124" s="113"/>
      <c r="X124" s="113"/>
      <c r="Y124" s="111">
        <f>SUMIF($E$4:$E$113,"520-2",$Y$4:$Y$113)</f>
        <v>667371659</v>
      </c>
      <c r="Z124" s="111">
        <f>SUMIF($E$4:$E$113,"520-2",$Z$4:$Z$113)</f>
        <v>33084973</v>
      </c>
      <c r="AA124" s="111">
        <f>SUMIF($E$4:$E$113,"520-2",$AA$4:$AA$113)</f>
        <v>0</v>
      </c>
      <c r="AB124" s="114">
        <f t="shared" si="114"/>
        <v>1</v>
      </c>
      <c r="AC124" s="25">
        <f t="shared" si="115"/>
        <v>823639235</v>
      </c>
      <c r="AD124" s="112">
        <f>SUMIF($E$4:$E$113,"520-2",$AD$4:$AD$113)</f>
        <v>0</v>
      </c>
      <c r="AE124" s="112">
        <f>SUMIF($E$4:$E$113,"520-2",$AE$4:$AE$113)</f>
        <v>0</v>
      </c>
      <c r="AF124" s="112">
        <f>SUMIF($E$4:$E$113,"520-2",$AF$4:$AF$113)</f>
        <v>0</v>
      </c>
      <c r="AG124" s="112">
        <f>SUMIF($E$4:$E$113,"520-2",$AG$4:$AG$113)</f>
        <v>0</v>
      </c>
      <c r="AH124" s="112">
        <f>SUMIF($E$4:$E$113,"520-2",$AH$4:$AH$113)</f>
        <v>0</v>
      </c>
      <c r="AI124" s="112">
        <f>SUMIF($E$4:$E$113,"520-2",$AI$4:$AI$113)</f>
        <v>0</v>
      </c>
      <c r="AJ124" s="112">
        <f>SUMIF($E$4:$E$113,"520-2",$AJ$4:$AJ$113)</f>
        <v>0</v>
      </c>
      <c r="AK124" s="112">
        <f>SUMIF($E$4:$E$113,"520-2",$AK$4:$AK$113)</f>
        <v>0</v>
      </c>
      <c r="AL124" s="112">
        <f>SUMIF($E$4:$E$113,"520-2",$AL$4:$AL$113)</f>
        <v>0</v>
      </c>
      <c r="AM124" s="112">
        <f>SUMIF($E$4:$E$113,"520-2",$AM$4:$AM$113)</f>
        <v>0</v>
      </c>
      <c r="AN124" s="112">
        <f>SUMIF($E$4:$E$113,"520-2",$AN$4:$AN$113)</f>
        <v>0</v>
      </c>
      <c r="AO124" s="112">
        <f>SUMIF($E$4:$E$113,"520-2",$AO$4:$AO$113)</f>
        <v>0</v>
      </c>
      <c r="AP124" s="112">
        <f>SUMIF($E$4:$E$113,"520-2",$AP$4:$AP$113)</f>
        <v>0</v>
      </c>
      <c r="AQ124" s="112">
        <f>SUMIF($E$4:$E$113,"520-2",$AQ$4:$AQ$113)</f>
        <v>123182603</v>
      </c>
      <c r="AR124" s="112">
        <f>SUMIF($E$4:$E$113,"520-2",$AR$4:$AR$113)</f>
        <v>0</v>
      </c>
      <c r="AS124" s="112">
        <f>SUMIF($E$4:$E$113,"520-2",$AS$4:$AS$113)</f>
        <v>0</v>
      </c>
      <c r="AT124" s="112">
        <f>SUMIF($E$4:$E$113,"520-2",$AT$4:$AT$113)</f>
        <v>0</v>
      </c>
      <c r="AU124" s="112">
        <f>SUMIF($E$4:$E$113,"520-2",$AU$4:$AU$113)</f>
        <v>667371659</v>
      </c>
      <c r="AV124" s="112">
        <f>SUMIF($E$4:$E$113,"520-2",$AV$4:$AV$113)</f>
        <v>33084973</v>
      </c>
      <c r="AW124" s="112">
        <f>SUMIF($E$4:$E$113,"520-2",$AW$4:$AW$113)</f>
        <v>0</v>
      </c>
      <c r="AX124" s="97">
        <f t="shared" si="116"/>
        <v>0</v>
      </c>
      <c r="AY124" s="25">
        <f t="shared" si="117"/>
        <v>0</v>
      </c>
      <c r="AZ124" s="115"/>
      <c r="BA124" s="115"/>
      <c r="BB124" s="115"/>
      <c r="BC124" s="115">
        <f>SUMIF($E$4:$E$113,"520-2",$BC$4:$BC$113)</f>
        <v>0</v>
      </c>
      <c r="BD124" s="115"/>
      <c r="BE124" s="115"/>
      <c r="BF124" s="115"/>
      <c r="BG124" s="115"/>
      <c r="BH124" s="115"/>
      <c r="BI124" s="115"/>
      <c r="BJ124" s="115"/>
      <c r="BK124" s="115"/>
      <c r="BL124" s="115"/>
      <c r="BM124" s="115">
        <f>SUMIF($E$4:$E$113,"520-2",$BM$4:$BM$113)</f>
        <v>0</v>
      </c>
      <c r="BN124" s="115"/>
      <c r="BO124" s="115"/>
      <c r="BP124" s="115">
        <f>SUMIF($E$4:$E$113,"520-2",$BP$4:$BP$113)</f>
        <v>0</v>
      </c>
      <c r="BQ124" s="115">
        <f>SUMIF($E$4:$E$113,"520-2",$BQ$4:$BQ$113)</f>
        <v>0</v>
      </c>
      <c r="BR124" s="115">
        <f>SUMIF($E$4:$E$113,"520-2",$BR$4:$BR$113)</f>
        <v>0</v>
      </c>
      <c r="BS124" s="116">
        <f>SUMIF($E$4:$E$113,"520-2",$BS$4:$BS$113)</f>
        <v>0</v>
      </c>
      <c r="BT124" s="117">
        <f t="shared" si="118"/>
        <v>0.75743387819546992</v>
      </c>
      <c r="BU124" s="25">
        <f t="shared" si="119"/>
        <v>623852260</v>
      </c>
      <c r="BV124" s="112">
        <f>SUMIF($E$4:$E$113,"520-2",$BV$4:$BV$113)</f>
        <v>0</v>
      </c>
      <c r="BW124" s="112">
        <f>SUMIF($E$4:$E$113,"520-2",$BW$4:$BW$113)</f>
        <v>0</v>
      </c>
      <c r="BX124" s="112">
        <f>SUMIF($E$4:$E$113,"520-2",$BX$4:$BX$113)</f>
        <v>0</v>
      </c>
      <c r="BY124" s="112">
        <f>SUMIF($E$4:$E$113,"520-2",$BY$4:$BY$113)</f>
        <v>0</v>
      </c>
      <c r="BZ124" s="112">
        <f>SUMIF($E$4:$E$113,"520-2",$BZ$4:$BZ$113)</f>
        <v>0</v>
      </c>
      <c r="CA124" s="112">
        <f>SUMIF($E$4:$E$113,"520-2",$CA$4:$CA$113)</f>
        <v>0</v>
      </c>
      <c r="CB124" s="112">
        <f>SUMIF($E$4:$E$113,"520-2",$CB$4:$CB$113)</f>
        <v>0</v>
      </c>
      <c r="CC124" s="112"/>
      <c r="CD124" s="112"/>
      <c r="CE124" s="112"/>
      <c r="CF124" s="112"/>
      <c r="CG124" s="112"/>
      <c r="CH124" s="112">
        <f>SUMIF($E$4:$E$113,"520-2",$CH$4:$CH$113)</f>
        <v>0</v>
      </c>
      <c r="CI124" s="112">
        <f>SUMIF($E$4:$E$113,"520-2",$CI$4:$CI$113)</f>
        <v>0</v>
      </c>
      <c r="CJ124" s="112"/>
      <c r="CK124" s="112"/>
      <c r="CL124" s="112">
        <f>SUMIF($E$4:$E$113,"111",$CL$4:$CL$113)</f>
        <v>0</v>
      </c>
      <c r="CM124" s="112">
        <f>SUMIF($E$4:$E$113,"520-2",$CM$4:$CM$113)</f>
        <v>591018660</v>
      </c>
      <c r="CN124" s="112">
        <f>+'[1]ENERO 2017'!$H$908</f>
        <v>32833600</v>
      </c>
      <c r="CO124" s="118">
        <f>SUMIF($E$4:$E$113,"520-2",$CO$4:$CO$113)</f>
        <v>0</v>
      </c>
      <c r="CP124" s="23">
        <f t="shared" si="121"/>
        <v>0.24256612180453008</v>
      </c>
      <c r="CQ124" s="25">
        <f t="shared" si="122"/>
        <v>199786975</v>
      </c>
      <c r="CR124" s="116"/>
      <c r="CS124" s="116"/>
      <c r="CT124" s="116"/>
      <c r="CU124" s="116"/>
      <c r="CV124" s="115"/>
      <c r="CW124" s="115"/>
      <c r="CX124" s="115"/>
      <c r="CY124" s="115"/>
      <c r="CZ124" s="119"/>
      <c r="DA124" s="119"/>
      <c r="DB124" s="119"/>
      <c r="DC124" s="119"/>
      <c r="DD124" s="119"/>
      <c r="DE124" s="119">
        <f>SUMIF($E$4:$E$113,"520-2",$DE$4:$DE$113)</f>
        <v>123182603</v>
      </c>
      <c r="DF124" s="119"/>
      <c r="DG124" s="119"/>
      <c r="DH124" s="119">
        <f>SUMIF($E$4:$E$113,"520-2",$DH$4:$DH$113)</f>
        <v>0</v>
      </c>
      <c r="DI124" s="119">
        <f>SUMIF($E$4:$E$113,"520-2",$DI$4:$DI$113)</f>
        <v>76352999</v>
      </c>
      <c r="DJ124" s="119">
        <f>SUMIF($E$4:$E$113,"520-2",$DJ$4:$DJ$113)</f>
        <v>251373</v>
      </c>
      <c r="DK124" s="119">
        <f>SUMIF($E$4:$E$113,"520-2",$DK$4:$DK$113)</f>
        <v>0</v>
      </c>
      <c r="DM124" s="26">
        <f t="shared" si="123"/>
        <v>823639235</v>
      </c>
      <c r="DN124" s="26">
        <f t="shared" si="124"/>
        <v>823639235</v>
      </c>
      <c r="DO124" s="26">
        <f t="shared" si="125"/>
        <v>823639235</v>
      </c>
    </row>
    <row r="125" spans="1:120" x14ac:dyDescent="0.25">
      <c r="C125" s="121"/>
      <c r="D125" s="110" t="s">
        <v>363</v>
      </c>
      <c r="E125" s="123"/>
      <c r="F125" s="124"/>
      <c r="G125" s="125">
        <f t="shared" ref="G125:AA125" si="126">SUM(G118:G124)</f>
        <v>18846020368</v>
      </c>
      <c r="H125" s="125">
        <f t="shared" si="126"/>
        <v>181434097</v>
      </c>
      <c r="I125" s="125">
        <f t="shared" si="126"/>
        <v>2084954283</v>
      </c>
      <c r="J125" s="125">
        <f t="shared" si="126"/>
        <v>3950000000</v>
      </c>
      <c r="K125" s="125">
        <f t="shared" si="126"/>
        <v>1973969361</v>
      </c>
      <c r="L125" s="125">
        <f t="shared" si="126"/>
        <v>80883013</v>
      </c>
      <c r="M125" s="125">
        <f t="shared" si="126"/>
        <v>210796645</v>
      </c>
      <c r="N125" s="125">
        <f t="shared" si="126"/>
        <v>12004716</v>
      </c>
      <c r="O125" s="125">
        <f t="shared" si="126"/>
        <v>6840985</v>
      </c>
      <c r="P125" s="125">
        <f t="shared" si="126"/>
        <v>30665828</v>
      </c>
      <c r="Q125" s="125">
        <f t="shared" si="126"/>
        <v>1940856</v>
      </c>
      <c r="R125" s="125">
        <f t="shared" si="126"/>
        <v>135153822</v>
      </c>
      <c r="S125" s="125">
        <f t="shared" si="126"/>
        <v>4175989854</v>
      </c>
      <c r="T125" s="125">
        <f t="shared" si="126"/>
        <v>300000000</v>
      </c>
      <c r="U125" s="125">
        <f t="shared" si="126"/>
        <v>953441613</v>
      </c>
      <c r="V125" s="125">
        <f t="shared" si="126"/>
        <v>1720354141</v>
      </c>
      <c r="W125" s="125">
        <f t="shared" si="126"/>
        <v>0</v>
      </c>
      <c r="X125" s="125">
        <f t="shared" si="126"/>
        <v>119946741</v>
      </c>
      <c r="Y125" s="125">
        <f t="shared" si="126"/>
        <v>667371659</v>
      </c>
      <c r="Z125" s="125">
        <f t="shared" si="126"/>
        <v>33084973</v>
      </c>
      <c r="AA125" s="125">
        <f t="shared" si="126"/>
        <v>2207187781</v>
      </c>
      <c r="AB125" s="114">
        <f t="shared" si="114"/>
        <v>0.81510165918547206</v>
      </c>
      <c r="AC125" s="125">
        <f t="shared" ref="AC125:AW127" si="127">SUM(AC118:AC124)</f>
        <v>15361422471</v>
      </c>
      <c r="AD125" s="125">
        <f t="shared" si="127"/>
        <v>181434097</v>
      </c>
      <c r="AE125" s="125">
        <f t="shared" si="127"/>
        <v>1932174326</v>
      </c>
      <c r="AF125" s="125">
        <f t="shared" si="127"/>
        <v>3309245909</v>
      </c>
      <c r="AG125" s="125">
        <f>SUM(AG118:AG124)</f>
        <v>1868018700</v>
      </c>
      <c r="AH125" s="125">
        <f>SUM(AH118:AH124)</f>
        <v>80883013</v>
      </c>
      <c r="AI125" s="125">
        <f t="shared" si="127"/>
        <v>11416500</v>
      </c>
      <c r="AJ125" s="125">
        <f t="shared" si="127"/>
        <v>12004716</v>
      </c>
      <c r="AK125" s="125">
        <f t="shared" si="127"/>
        <v>6840985</v>
      </c>
      <c r="AL125" s="125">
        <f t="shared" si="127"/>
        <v>30665828</v>
      </c>
      <c r="AM125" s="125">
        <f t="shared" si="127"/>
        <v>0</v>
      </c>
      <c r="AN125" s="125">
        <f t="shared" si="127"/>
        <v>135153822</v>
      </c>
      <c r="AO125" s="125">
        <f t="shared" si="127"/>
        <v>2951299250</v>
      </c>
      <c r="AP125" s="125">
        <f>SUM(AP118:AP124)</f>
        <v>149455530</v>
      </c>
      <c r="AQ125" s="125">
        <f t="shared" si="127"/>
        <v>911441613</v>
      </c>
      <c r="AR125" s="125">
        <f t="shared" si="127"/>
        <v>1485140669</v>
      </c>
      <c r="AS125" s="125">
        <f t="shared" si="127"/>
        <v>0</v>
      </c>
      <c r="AT125" s="125">
        <f t="shared" si="127"/>
        <v>119946741</v>
      </c>
      <c r="AU125" s="125">
        <f t="shared" si="127"/>
        <v>667371659</v>
      </c>
      <c r="AV125" s="125">
        <f t="shared" si="127"/>
        <v>33084973</v>
      </c>
      <c r="AW125" s="125">
        <f t="shared" si="127"/>
        <v>1475844140</v>
      </c>
      <c r="AX125" s="97">
        <f t="shared" si="116"/>
        <v>0.18489834081452794</v>
      </c>
      <c r="AY125" s="126">
        <f t="shared" ref="AY125:BS125" si="128">SUM(AY118:AY124)</f>
        <v>3484597897</v>
      </c>
      <c r="AZ125" s="126">
        <f t="shared" si="128"/>
        <v>0</v>
      </c>
      <c r="BA125" s="126">
        <f t="shared" si="128"/>
        <v>152779957</v>
      </c>
      <c r="BB125" s="126">
        <f t="shared" si="128"/>
        <v>640754091</v>
      </c>
      <c r="BC125" s="126">
        <f t="shared" si="128"/>
        <v>105950661</v>
      </c>
      <c r="BD125" s="126">
        <f t="shared" si="128"/>
        <v>0</v>
      </c>
      <c r="BE125" s="126">
        <f t="shared" si="128"/>
        <v>199380145</v>
      </c>
      <c r="BF125" s="126">
        <f t="shared" si="128"/>
        <v>0</v>
      </c>
      <c r="BG125" s="126">
        <f t="shared" si="128"/>
        <v>0</v>
      </c>
      <c r="BH125" s="126">
        <f t="shared" si="128"/>
        <v>0</v>
      </c>
      <c r="BI125" s="126">
        <f t="shared" si="128"/>
        <v>1940856</v>
      </c>
      <c r="BJ125" s="126">
        <f t="shared" si="128"/>
        <v>0</v>
      </c>
      <c r="BK125" s="126">
        <f t="shared" si="128"/>
        <v>1224690604</v>
      </c>
      <c r="BL125" s="126">
        <f t="shared" si="128"/>
        <v>150544470</v>
      </c>
      <c r="BM125" s="126">
        <f t="shared" si="128"/>
        <v>42000000</v>
      </c>
      <c r="BN125" s="126">
        <f t="shared" si="128"/>
        <v>235213472</v>
      </c>
      <c r="BO125" s="126">
        <f t="shared" si="128"/>
        <v>0</v>
      </c>
      <c r="BP125" s="126">
        <f t="shared" si="128"/>
        <v>0</v>
      </c>
      <c r="BQ125" s="126">
        <f t="shared" si="128"/>
        <v>0</v>
      </c>
      <c r="BR125" s="126">
        <f t="shared" si="128"/>
        <v>0</v>
      </c>
      <c r="BS125" s="126">
        <f t="shared" si="128"/>
        <v>731343641</v>
      </c>
      <c r="BT125" s="117">
        <f t="shared" si="118"/>
        <v>0.61055737754257322</v>
      </c>
      <c r="BU125" s="25">
        <f t="shared" si="119"/>
        <v>11506576773</v>
      </c>
      <c r="BV125" s="25">
        <f t="shared" ref="BV125:CO125" si="129">SUM(BV118:BV124)</f>
        <v>0</v>
      </c>
      <c r="BW125" s="25">
        <f t="shared" si="129"/>
        <v>1680676048</v>
      </c>
      <c r="BX125" s="25">
        <f t="shared" si="129"/>
        <v>2446083547</v>
      </c>
      <c r="BY125" s="25">
        <f t="shared" si="129"/>
        <v>1167895047</v>
      </c>
      <c r="BZ125" s="25">
        <f t="shared" si="129"/>
        <v>7736670</v>
      </c>
      <c r="CA125" s="25">
        <f t="shared" si="129"/>
        <v>11416500</v>
      </c>
      <c r="CB125" s="25">
        <f t="shared" si="129"/>
        <v>12004716</v>
      </c>
      <c r="CC125" s="25">
        <f t="shared" si="129"/>
        <v>6840985</v>
      </c>
      <c r="CD125" s="25">
        <f t="shared" si="129"/>
        <v>30665828</v>
      </c>
      <c r="CE125" s="25">
        <f t="shared" si="129"/>
        <v>0</v>
      </c>
      <c r="CF125" s="25">
        <f t="shared" si="129"/>
        <v>10153894</v>
      </c>
      <c r="CG125" s="25">
        <f t="shared" si="129"/>
        <v>2680257182</v>
      </c>
      <c r="CH125" s="25">
        <f t="shared" si="129"/>
        <v>149455530</v>
      </c>
      <c r="CI125" s="25">
        <f t="shared" si="129"/>
        <v>386609559</v>
      </c>
      <c r="CJ125" s="25">
        <f t="shared" si="129"/>
        <v>1134076957</v>
      </c>
      <c r="CK125" s="25">
        <f t="shared" si="129"/>
        <v>0</v>
      </c>
      <c r="CL125" s="25">
        <f t="shared" si="129"/>
        <v>44864678</v>
      </c>
      <c r="CM125" s="25">
        <f t="shared" si="129"/>
        <v>591018660</v>
      </c>
      <c r="CN125" s="25">
        <f t="shared" si="129"/>
        <v>32833600</v>
      </c>
      <c r="CO125" s="25">
        <f t="shared" si="129"/>
        <v>1113987372</v>
      </c>
      <c r="CP125" s="23">
        <f t="shared" si="121"/>
        <v>0.38944262245742678</v>
      </c>
      <c r="CQ125" s="125">
        <f t="shared" ref="CQ125:DK125" ca="1" si="130">SUM(CQ118:CQ124)</f>
        <v>7339443595</v>
      </c>
      <c r="CR125" s="125">
        <f t="shared" ca="1" si="130"/>
        <v>181434097</v>
      </c>
      <c r="CS125" s="125">
        <f t="shared" si="130"/>
        <v>404278235</v>
      </c>
      <c r="CT125" s="125">
        <f t="shared" si="130"/>
        <v>1503916453</v>
      </c>
      <c r="CU125" s="125">
        <f t="shared" si="130"/>
        <v>806074314</v>
      </c>
      <c r="CV125" s="125">
        <f t="shared" si="130"/>
        <v>73146343</v>
      </c>
      <c r="CW125" s="125">
        <f t="shared" si="130"/>
        <v>199380145</v>
      </c>
      <c r="CX125" s="125">
        <f t="shared" si="130"/>
        <v>0</v>
      </c>
      <c r="CY125" s="125">
        <f t="shared" si="130"/>
        <v>0</v>
      </c>
      <c r="CZ125" s="125">
        <f t="shared" si="130"/>
        <v>0</v>
      </c>
      <c r="DA125" s="125">
        <f t="shared" si="130"/>
        <v>1940856</v>
      </c>
      <c r="DB125" s="125">
        <f t="shared" si="130"/>
        <v>124999928</v>
      </c>
      <c r="DC125" s="125">
        <f t="shared" si="130"/>
        <v>1495732672</v>
      </c>
      <c r="DD125" s="125">
        <f t="shared" si="130"/>
        <v>150544470</v>
      </c>
      <c r="DE125" s="125">
        <f t="shared" si="130"/>
        <v>566832054</v>
      </c>
      <c r="DF125" s="125">
        <f t="shared" si="130"/>
        <v>586277184</v>
      </c>
      <c r="DG125" s="125">
        <f t="shared" si="130"/>
        <v>0</v>
      </c>
      <c r="DH125" s="125">
        <f t="shared" si="130"/>
        <v>75082063</v>
      </c>
      <c r="DI125" s="125">
        <f t="shared" si="130"/>
        <v>76352999</v>
      </c>
      <c r="DJ125" s="125">
        <f t="shared" si="130"/>
        <v>251373</v>
      </c>
      <c r="DK125" s="125">
        <f t="shared" si="130"/>
        <v>1093200409</v>
      </c>
      <c r="DM125" s="26">
        <f t="shared" si="123"/>
        <v>18846020368</v>
      </c>
      <c r="DN125" s="26">
        <f t="shared" si="124"/>
        <v>18846020368</v>
      </c>
      <c r="DO125" s="26">
        <f t="shared" ca="1" si="125"/>
        <v>18846020368</v>
      </c>
    </row>
    <row r="126" spans="1:120" x14ac:dyDescent="0.25">
      <c r="C126" s="121"/>
      <c r="D126" s="110" t="s">
        <v>249</v>
      </c>
      <c r="E126" s="127">
        <v>301</v>
      </c>
      <c r="F126" s="111"/>
      <c r="G126" s="112">
        <f>SUMIF($E$4:$E$113,"301",$G$4:$G$113)</f>
        <v>3178839833</v>
      </c>
      <c r="H126" s="113">
        <f>SUMIF($E$4:$E$113,"301",$H$4:$H$113)</f>
        <v>277739909</v>
      </c>
      <c r="I126" s="113">
        <f>SUMIF($E$4:$E$113,"301",$I$4:$I$113)</f>
        <v>714000000</v>
      </c>
      <c r="J126" s="112">
        <f>SUMIF($E$4:$E$113,"301",$J$4:$J$113)</f>
        <v>50000000</v>
      </c>
      <c r="K126" s="112">
        <f>SUMIF($E$4:$E$113,"301",$K$4:$K$113)</f>
        <v>26578511</v>
      </c>
      <c r="L126" s="111">
        <f>SUMIF($E$4:$E$113,"301",$L$4:$L$113)</f>
        <v>0</v>
      </c>
      <c r="M126" s="111">
        <f>SUMIF($E$4:$E$113,"301",$M$4:$M$113)</f>
        <v>0</v>
      </c>
      <c r="N126" s="111">
        <f>SUMIF($E$4:$E$113,"301",$N$4:$N$113)</f>
        <v>0</v>
      </c>
      <c r="O126" s="111">
        <f>SUMIF($E$4:$E$113,"301",$O$4:$O$113)</f>
        <v>0</v>
      </c>
      <c r="P126" s="111">
        <f>SUMIF($E$4:$E$113,"301",$P$4:$P$113)</f>
        <v>0</v>
      </c>
      <c r="Q126" s="111">
        <f>SUMIF($E$4:$E$113,"301",$Q$4:$Q$113)</f>
        <v>0</v>
      </c>
      <c r="R126" s="111">
        <f>SUMIF($E$4:$E$113,"301",$R$4:$R$113)</f>
        <v>0</v>
      </c>
      <c r="S126" s="111">
        <f>SUMIF($E$4:$E$113,"301",$S$4:$S$113)</f>
        <v>2213154</v>
      </c>
      <c r="T126" s="111">
        <f>SUMIF($E$4:$E$113,"301",$T$4:$T$113)</f>
        <v>230450000</v>
      </c>
      <c r="U126" s="111">
        <f>SUMIF($E$4:$E$113,"301",$U$4:$U$113)</f>
        <v>118000000</v>
      </c>
      <c r="V126" s="111">
        <f>SUMIF($E$4:$E$113,"301",$V$4:$V$113)</f>
        <v>80000000</v>
      </c>
      <c r="W126" s="111">
        <f>SUMIF($E$4:$E$106,"301",$W$4:$W$106)</f>
        <v>1570638184</v>
      </c>
      <c r="X126" s="111"/>
      <c r="Y126" s="111">
        <f>SUMIF($E$4:$E$106,"301",$Y$4:$Y$106)</f>
        <v>0</v>
      </c>
      <c r="Z126" s="111">
        <f>SUMIF($E$4:$E$113,"301",$Z$4:$Z$113)</f>
        <v>0</v>
      </c>
      <c r="AA126" s="111">
        <f>SUMIF($E$4:$E$113,"301",$AA$4:$AA$113)</f>
        <v>109220075</v>
      </c>
      <c r="AB126" s="114">
        <f t="shared" si="114"/>
        <v>0.94883593306224934</v>
      </c>
      <c r="AC126" s="25">
        <f>SUM(AD126:AW126)</f>
        <v>3016197459</v>
      </c>
      <c r="AD126" s="112">
        <f>SUMIF($E$4:$E$113,"301",$AD$4:$AD$113)</f>
        <v>261659011</v>
      </c>
      <c r="AE126" s="112">
        <f>SUMIF($E$4:$E$113,"301",$AE$4:$AE$113)</f>
        <v>713620873</v>
      </c>
      <c r="AF126" s="112">
        <f>SUMIF($E$4:$E$113,"301",$AF$4:$AF$113)</f>
        <v>50000000</v>
      </c>
      <c r="AG126" s="112">
        <f>SUMIF($E$4:$E$113,"301",$AG$4:$AG$113)</f>
        <v>18090667</v>
      </c>
      <c r="AH126" s="112">
        <f>SUMIF($E$4:$E$113,"301",$AH$4:$AH$113)</f>
        <v>0</v>
      </c>
      <c r="AI126" s="112">
        <f>SUMIF($E$4:$E$113,"301",$AI$4:$AI$113)</f>
        <v>0</v>
      </c>
      <c r="AJ126" s="112">
        <f>SUMIF($E$4:$E$113,"301",$AJ$4:$AJ$113)</f>
        <v>0</v>
      </c>
      <c r="AK126" s="112">
        <f>SUMIF($E$4:$E$113,"301",$AK$4:$AK$113)</f>
        <v>0</v>
      </c>
      <c r="AL126" s="112">
        <f>SUMIF($E$4:$E$113,"301",$AL$4:$AL$113)</f>
        <v>0</v>
      </c>
      <c r="AM126" s="112">
        <f>SUMIF($E$4:$E$113,"301",$AM$4:$AM$113)</f>
        <v>0</v>
      </c>
      <c r="AN126" s="112">
        <f>SUMIF($E$4:$E$113,"301",$AN$4:$AN$113)</f>
        <v>0</v>
      </c>
      <c r="AO126" s="112">
        <f>SUMIF($E$4:$E$113,"301",$AO$4:$AO$113)</f>
        <v>0</v>
      </c>
      <c r="AP126" s="112">
        <f>SUMIF($E$4:$E$113,"301",$AP$4:$AP$113)</f>
        <v>175958012</v>
      </c>
      <c r="AQ126" s="112">
        <f>SUMIF($E$4:$E$113,"301",$AQ$4:$AQ$113)</f>
        <v>118000000</v>
      </c>
      <c r="AR126" s="112">
        <f>SUMIF($E$4:$E$113,"301",$AR$4:$AR$113)</f>
        <v>80000000</v>
      </c>
      <c r="AS126" s="112">
        <f>SUMIF($E$4:$E$113,"301",$AS$4:$AS$113)</f>
        <v>1539781663</v>
      </c>
      <c r="AT126" s="112">
        <f>SUMIF($E$4:$E$113,"301",$AT$4:$AT$113)</f>
        <v>0</v>
      </c>
      <c r="AU126" s="112">
        <f>SUMIF($E$4:$E$113,"301",$AU$4:$AU$113)</f>
        <v>0</v>
      </c>
      <c r="AV126" s="112">
        <f>SUMIF($E$4:$E$113,"301",$AV$4:$AV$113)</f>
        <v>0</v>
      </c>
      <c r="AW126" s="112">
        <f>SUMIF($E$4:$E$113,"301",$AW$4:$AW$113)</f>
        <v>59087233</v>
      </c>
      <c r="AX126" s="97">
        <f t="shared" si="116"/>
        <v>5.1164066937750663E-2</v>
      </c>
      <c r="AY126" s="25">
        <f>SUM(AZ126:BS126)</f>
        <v>162642374</v>
      </c>
      <c r="AZ126" s="115">
        <f>SUMIF($E$4:$E$113,"301",$AZ$4:$AZ$113)</f>
        <v>16080898</v>
      </c>
      <c r="BA126" s="115">
        <f>SUMIF($E$4:$E$113,"301",$BA$4:$BA$113)</f>
        <v>379127</v>
      </c>
      <c r="BB126" s="115">
        <f>SUMIF($E$4:$E$113,"301",$BB$4:$BB$113)</f>
        <v>0</v>
      </c>
      <c r="BC126" s="115">
        <f>SUMIF($E$4:$E$113,"301",$BC$4:$BC$113)</f>
        <v>8487844</v>
      </c>
      <c r="BD126" s="115">
        <f>SUMIF($E$4:$E$113,"301",$BD$4:$BD$113)</f>
        <v>0</v>
      </c>
      <c r="BE126" s="115">
        <f>SUMIF($E$4:$E$113,"301",$BE$4:$BE$113)</f>
        <v>0</v>
      </c>
      <c r="BF126" s="115">
        <f>SUMIF($E$4:$E$113,"301",$BF$4:$BF$113)</f>
        <v>0</v>
      </c>
      <c r="BG126" s="115">
        <f>SUMIF($E$4:$E$113,"301",$BG$4:$BG$113)</f>
        <v>0</v>
      </c>
      <c r="BH126" s="115">
        <f>SUMIF($E$4:$E$113,"301",$BH$4:$BH$113)</f>
        <v>0</v>
      </c>
      <c r="BI126" s="115">
        <f>SUMIF($E$4:$E$113,"301",$BI$4:$BI$113)</f>
        <v>0</v>
      </c>
      <c r="BJ126" s="115">
        <f>SUMIF($E$4:$E$113,"301",$BJ$4:$BJ$113)</f>
        <v>0</v>
      </c>
      <c r="BK126" s="115">
        <f>SUMIF($E$4:$E$113,"301",$BK$4:$BK$113)</f>
        <v>2213154</v>
      </c>
      <c r="BL126" s="115">
        <f>SUMIF($E$4:$E$113,"301",$BL$4:$BL$113)</f>
        <v>54491988</v>
      </c>
      <c r="BM126" s="115">
        <f>SUMIF($E$4:$E$113,"301",$BM$4:$BM$113)</f>
        <v>0</v>
      </c>
      <c r="BN126" s="115">
        <f>SUMIF($E$4:$E$113,"301",$BN$4:$BN$113)</f>
        <v>0</v>
      </c>
      <c r="BO126" s="115">
        <f>SUMIF($E$4:$E$113,"301",$BO$4:$BO$113)</f>
        <v>30856521</v>
      </c>
      <c r="BP126" s="115"/>
      <c r="BQ126" s="115">
        <f>SUMIF($E$4:$E$113,"301",$BQ$4:$BQ$113)</f>
        <v>0</v>
      </c>
      <c r="BR126" s="115"/>
      <c r="BS126" s="116">
        <f>SUMIF($E$4:$E$113,"301",$BS$4:$BS$113)</f>
        <v>50132842</v>
      </c>
      <c r="BT126" s="117">
        <f t="shared" si="118"/>
        <v>0.89375412076636074</v>
      </c>
      <c r="BU126" s="25">
        <f>SUM(BV126:CO126)</f>
        <v>2841101200</v>
      </c>
      <c r="BV126" s="112">
        <f>SUMIF($E$4:$E$113,"301",$BV$4:$BV$113)</f>
        <v>236554614</v>
      </c>
      <c r="BW126" s="112">
        <f>SUMIF($E$4:$E$113,"301",$BW$4:$BW$113)</f>
        <v>711139881</v>
      </c>
      <c r="BX126" s="112">
        <f>SUMIF($E$4:$E$113,"301",$BX$4:$BX$113)</f>
        <v>37223653</v>
      </c>
      <c r="BY126" s="112">
        <f>SUMIF($E$4:$E$113,"301",$BY$4:$BY$113)</f>
        <v>18090667</v>
      </c>
      <c r="BZ126" s="112">
        <f>SUMIF($E$4:$E$113,"301",$BZ$4:$BZ$113)</f>
        <v>0</v>
      </c>
      <c r="CA126" s="112">
        <f>SUMIF($E$4:$E$113,"301",$CA$4:$CA$113)</f>
        <v>0</v>
      </c>
      <c r="CB126" s="112">
        <f>SUMIF($E$4:$E$113,"301",$CB$4:$CB$113)</f>
        <v>0</v>
      </c>
      <c r="CC126" s="112"/>
      <c r="CD126" s="112">
        <f>SUMIF($E$4:$E$113,"301",$CD$4:$CD$113)</f>
        <v>0</v>
      </c>
      <c r="CE126" s="112">
        <f>SUMIF($E$4:$E$113,"301",$CE$4:$CE$113)</f>
        <v>0</v>
      </c>
      <c r="CF126" s="112">
        <f>SUMIF($E$4:$E$113,"301",$CF$4:$CF$113)</f>
        <v>0</v>
      </c>
      <c r="CG126" s="112">
        <f>SUMIF($E$4:$E$113,"301",$CG$4:$CG$113)</f>
        <v>0</v>
      </c>
      <c r="CH126" s="112">
        <f>SUMIF($E$4:$E$113,"301",$CH$4:$CH$113)</f>
        <v>171014753</v>
      </c>
      <c r="CI126" s="112">
        <f>SUMIF($E$4:$E$113,"301",$CI$4:$CI$113)</f>
        <v>70634317</v>
      </c>
      <c r="CJ126" s="112">
        <f>SUMIF($E$4:$E$113,"301",$CJ$4:$CJ$113)</f>
        <v>3000000</v>
      </c>
      <c r="CK126" s="112">
        <f>SUMIF($E$4:$E$113,"301",$CK$4:$CK$113)</f>
        <v>1539700812</v>
      </c>
      <c r="CL126" s="112">
        <f>SUMIF($E$4:$E$113,"301",$CL$4:$CL$113)</f>
        <v>0</v>
      </c>
      <c r="CM126" s="112">
        <f>SUMIF($E$4:$E$113,"301",$CM$4:$CM$113)</f>
        <v>0</v>
      </c>
      <c r="CN126" s="112">
        <f>SUMIF($E$4:$E$113,"301",$CN$4:$CN$113)</f>
        <v>0</v>
      </c>
      <c r="CO126" s="118">
        <f>SUMIF($E$4:$E$113,"301",$CO$4:$CO$113)</f>
        <v>53742503</v>
      </c>
      <c r="CP126" s="23">
        <f t="shared" si="121"/>
        <v>0.10624587923363926</v>
      </c>
      <c r="CQ126" s="25">
        <f>SUM(CR126:DK126)</f>
        <v>337738633</v>
      </c>
      <c r="CR126" s="115">
        <f>SUMIF($E$4:$E$113,"301",$CR$4:$CR$113)</f>
        <v>41185295</v>
      </c>
      <c r="CS126" s="115">
        <f>SUMIF($E$4:$E$113,"301",$CS$4:$CS$113)</f>
        <v>2860119</v>
      </c>
      <c r="CT126" s="115">
        <f>SUMIF($E$4:$E$113,"301",$CT$4:$CT$113)</f>
        <v>12776347</v>
      </c>
      <c r="CU126" s="115">
        <f>SUMIF($E$4:$E$113,"301",$CU$4:$CU$113)</f>
        <v>8487844</v>
      </c>
      <c r="CV126" s="115">
        <f>SUMIF($E$4:$E$113,"301",$CV$4:$CV$113)</f>
        <v>0</v>
      </c>
      <c r="CW126" s="115">
        <f>SUMIF($E$4:$E$113,"301",$CW$4:$CW$113)</f>
        <v>0</v>
      </c>
      <c r="CX126" s="115">
        <f>SUMIF($E$4:$E$113,"301",$CX$4:$CX$113)</f>
        <v>0</v>
      </c>
      <c r="CY126" s="115">
        <f>SUMIF($E$4:$E$113,"301",$CY$4:$CY$113)</f>
        <v>0</v>
      </c>
      <c r="CZ126" s="119">
        <f>SUMIF($E$4:$E$113,"301",$CZ$4:$CZ$113)</f>
        <v>0</v>
      </c>
      <c r="DA126" s="119">
        <f>SUMIF($E$4:$E$113,"301",$DA$4:$DA$113)</f>
        <v>0</v>
      </c>
      <c r="DB126" s="119">
        <f>SUMIF($E$4:$E$113,"301",$DB$4:$DB$113)</f>
        <v>0</v>
      </c>
      <c r="DC126" s="119">
        <f>SUMIF($E$4:$E$113,"301",$DC$4:$DC$113)</f>
        <v>2213154</v>
      </c>
      <c r="DD126" s="119">
        <f>SUMIF($E$4:$E$113,"301",$DD$4:$DD$113)</f>
        <v>59435247</v>
      </c>
      <c r="DE126" s="119">
        <f>SUMIF($E$4:$E$113,"301",$DE$4:$DE$113)</f>
        <v>47365683</v>
      </c>
      <c r="DF126" s="119">
        <f>SUMIF($E$4:$E$113,"301",$DF$4:$DF$113)</f>
        <v>77000000</v>
      </c>
      <c r="DG126" s="119">
        <f>SUMIF($E$4:$E$113,"301",$DG$4:$DG$113)</f>
        <v>30937372</v>
      </c>
      <c r="DH126" s="119">
        <f>SUMIF($E$4:$E$113,"301",$DH$4:$DH$113)</f>
        <v>0</v>
      </c>
      <c r="DI126" s="119">
        <f>SUMIF($E$4:$E$113,"301",$DI$4:$DI$113)</f>
        <v>0</v>
      </c>
      <c r="DJ126" s="119">
        <f>SUMIF($E$4:$E$113,"301",$DJ$4:$DJ$113)</f>
        <v>0</v>
      </c>
      <c r="DK126" s="119">
        <f>SUMIF($E$4:$E$113,"301",$DK$4:$DK$113)</f>
        <v>55477572</v>
      </c>
      <c r="DM126" s="26">
        <f t="shared" si="123"/>
        <v>3178839833</v>
      </c>
      <c r="DN126" s="26">
        <f t="shared" si="124"/>
        <v>3178839833</v>
      </c>
      <c r="DO126" s="26">
        <f t="shared" si="125"/>
        <v>3178839833</v>
      </c>
    </row>
    <row r="127" spans="1:120" ht="15.75" thickBot="1" x14ac:dyDescent="0.3">
      <c r="C127" s="216" t="s">
        <v>364</v>
      </c>
      <c r="D127" s="217"/>
      <c r="E127" s="128"/>
      <c r="F127" s="129"/>
      <c r="G127" s="130">
        <f>SUM(G125:G126)</f>
        <v>22024860201</v>
      </c>
      <c r="H127" s="130">
        <f t="shared" ref="H127:AA127" si="131">SUM(H125:H126)</f>
        <v>459174006</v>
      </c>
      <c r="I127" s="130">
        <f t="shared" si="131"/>
        <v>2798954283</v>
      </c>
      <c r="J127" s="130">
        <f t="shared" si="131"/>
        <v>4000000000</v>
      </c>
      <c r="K127" s="130">
        <f t="shared" si="131"/>
        <v>2000547872</v>
      </c>
      <c r="L127" s="130">
        <f t="shared" si="131"/>
        <v>80883013</v>
      </c>
      <c r="M127" s="130">
        <f t="shared" si="131"/>
        <v>210796645</v>
      </c>
      <c r="N127" s="130">
        <f t="shared" si="131"/>
        <v>12004716</v>
      </c>
      <c r="O127" s="130">
        <f t="shared" si="131"/>
        <v>6840985</v>
      </c>
      <c r="P127" s="130">
        <f t="shared" si="131"/>
        <v>30665828</v>
      </c>
      <c r="Q127" s="130">
        <f t="shared" si="131"/>
        <v>1940856</v>
      </c>
      <c r="R127" s="130">
        <f t="shared" si="131"/>
        <v>135153822</v>
      </c>
      <c r="S127" s="130">
        <f t="shared" si="131"/>
        <v>4178203008</v>
      </c>
      <c r="T127" s="130">
        <f t="shared" si="131"/>
        <v>530450000</v>
      </c>
      <c r="U127" s="131">
        <f t="shared" si="131"/>
        <v>1071441613</v>
      </c>
      <c r="V127" s="130">
        <f t="shared" si="131"/>
        <v>1800354141</v>
      </c>
      <c r="W127" s="130">
        <f t="shared" si="131"/>
        <v>1570638184</v>
      </c>
      <c r="X127" s="130">
        <f t="shared" si="131"/>
        <v>119946741</v>
      </c>
      <c r="Y127" s="130">
        <f t="shared" si="131"/>
        <v>667371659</v>
      </c>
      <c r="Z127" s="130">
        <f t="shared" si="131"/>
        <v>33084973</v>
      </c>
      <c r="AA127" s="130">
        <f t="shared" si="131"/>
        <v>2316407856</v>
      </c>
      <c r="AB127" s="132">
        <f t="shared" si="114"/>
        <v>0.83440347690223238</v>
      </c>
      <c r="AC127" s="133">
        <f>AC125+AC126</f>
        <v>18377619930</v>
      </c>
      <c r="AD127" s="133">
        <f t="shared" ref="AD127:AW127" si="132">AD125+AD126</f>
        <v>443093108</v>
      </c>
      <c r="AE127" s="133">
        <f t="shared" si="132"/>
        <v>2645795199</v>
      </c>
      <c r="AF127" s="133">
        <f t="shared" si="132"/>
        <v>3359245909</v>
      </c>
      <c r="AG127" s="133">
        <f t="shared" si="132"/>
        <v>1886109367</v>
      </c>
      <c r="AH127" s="125">
        <f t="shared" si="127"/>
        <v>80883013</v>
      </c>
      <c r="AI127" s="125">
        <f t="shared" si="127"/>
        <v>11416500</v>
      </c>
      <c r="AJ127" s="125">
        <f t="shared" si="127"/>
        <v>12004716</v>
      </c>
      <c r="AK127" s="125">
        <f t="shared" si="127"/>
        <v>6840985</v>
      </c>
      <c r="AL127" s="133">
        <f t="shared" si="132"/>
        <v>30665828</v>
      </c>
      <c r="AM127" s="133">
        <f t="shared" si="132"/>
        <v>0</v>
      </c>
      <c r="AN127" s="133">
        <f t="shared" si="132"/>
        <v>135153822</v>
      </c>
      <c r="AO127" s="133">
        <f t="shared" si="132"/>
        <v>2951299250</v>
      </c>
      <c r="AP127" s="133">
        <f t="shared" si="132"/>
        <v>325413542</v>
      </c>
      <c r="AQ127" s="133">
        <f t="shared" si="132"/>
        <v>1029441613</v>
      </c>
      <c r="AR127" s="133">
        <f t="shared" si="132"/>
        <v>1565140669</v>
      </c>
      <c r="AS127" s="133">
        <f t="shared" si="132"/>
        <v>1539781663</v>
      </c>
      <c r="AT127" s="133">
        <f t="shared" si="132"/>
        <v>119946741</v>
      </c>
      <c r="AU127" s="133">
        <f t="shared" si="132"/>
        <v>667371659</v>
      </c>
      <c r="AV127" s="133">
        <f t="shared" si="132"/>
        <v>33084973</v>
      </c>
      <c r="AW127" s="133">
        <f t="shared" si="132"/>
        <v>1534931373</v>
      </c>
      <c r="AX127" s="97">
        <f t="shared" si="116"/>
        <v>0.16559652309776762</v>
      </c>
      <c r="AY127" s="133">
        <f>AY125+AY126</f>
        <v>3647240271</v>
      </c>
      <c r="AZ127" s="133">
        <f>AZ125+AZ126</f>
        <v>16080898</v>
      </c>
      <c r="BA127" s="134">
        <f t="shared" ref="BA127:BS127" si="133">+BA125+BA126</f>
        <v>153159084</v>
      </c>
      <c r="BB127" s="134">
        <f t="shared" si="133"/>
        <v>640754091</v>
      </c>
      <c r="BC127" s="134">
        <f t="shared" si="133"/>
        <v>114438505</v>
      </c>
      <c r="BD127" s="134">
        <f t="shared" si="133"/>
        <v>0</v>
      </c>
      <c r="BE127" s="134">
        <f t="shared" si="133"/>
        <v>199380145</v>
      </c>
      <c r="BF127" s="134">
        <f t="shared" si="133"/>
        <v>0</v>
      </c>
      <c r="BG127" s="134">
        <f>+BG125+BG126</f>
        <v>0</v>
      </c>
      <c r="BH127" s="134">
        <f>+BH125+BH126</f>
        <v>0</v>
      </c>
      <c r="BI127" s="134">
        <f t="shared" si="133"/>
        <v>1940856</v>
      </c>
      <c r="BJ127" s="134">
        <f t="shared" si="133"/>
        <v>0</v>
      </c>
      <c r="BK127" s="134">
        <f t="shared" si="133"/>
        <v>1226903758</v>
      </c>
      <c r="BL127" s="134">
        <f t="shared" si="133"/>
        <v>205036458</v>
      </c>
      <c r="BM127" s="134">
        <f t="shared" si="133"/>
        <v>42000000</v>
      </c>
      <c r="BN127" s="134">
        <f t="shared" si="133"/>
        <v>235213472</v>
      </c>
      <c r="BO127" s="134">
        <f t="shared" si="133"/>
        <v>30856521</v>
      </c>
      <c r="BP127" s="134">
        <f t="shared" si="133"/>
        <v>0</v>
      </c>
      <c r="BQ127" s="134">
        <f t="shared" si="133"/>
        <v>0</v>
      </c>
      <c r="BR127" s="134">
        <f t="shared" si="133"/>
        <v>0</v>
      </c>
      <c r="BS127" s="134">
        <f t="shared" si="133"/>
        <v>781476483</v>
      </c>
      <c r="BT127" s="135">
        <f t="shared" si="118"/>
        <v>0.65143105754417319</v>
      </c>
      <c r="BU127" s="136">
        <f>+BU125+BU126</f>
        <v>14347677973</v>
      </c>
      <c r="BV127" s="134">
        <f>+BV125+BV126</f>
        <v>236554614</v>
      </c>
      <c r="BW127" s="134">
        <f>+BW125+BW126</f>
        <v>2391815929</v>
      </c>
      <c r="BX127" s="134">
        <f>+BX125+BX126</f>
        <v>2483307200</v>
      </c>
      <c r="BY127" s="134">
        <f>+BY125+BY126</f>
        <v>1185985714</v>
      </c>
      <c r="BZ127" s="130">
        <f t="shared" ref="BZ127:CO127" si="134">SUM(BZ125:BZ126)</f>
        <v>7736670</v>
      </c>
      <c r="CA127" s="130">
        <f t="shared" si="134"/>
        <v>11416500</v>
      </c>
      <c r="CB127" s="130">
        <f t="shared" si="134"/>
        <v>12004716</v>
      </c>
      <c r="CC127" s="130">
        <f t="shared" si="134"/>
        <v>6840985</v>
      </c>
      <c r="CD127" s="130">
        <f t="shared" si="134"/>
        <v>30665828</v>
      </c>
      <c r="CE127" s="130">
        <f t="shared" si="134"/>
        <v>0</v>
      </c>
      <c r="CF127" s="130">
        <f t="shared" si="134"/>
        <v>10153894</v>
      </c>
      <c r="CG127" s="130">
        <f t="shared" si="134"/>
        <v>2680257182</v>
      </c>
      <c r="CH127" s="130">
        <f t="shared" si="134"/>
        <v>320470283</v>
      </c>
      <c r="CI127" s="130">
        <f t="shared" si="134"/>
        <v>457243876</v>
      </c>
      <c r="CJ127" s="130">
        <f t="shared" si="134"/>
        <v>1137076957</v>
      </c>
      <c r="CK127" s="130">
        <f t="shared" si="134"/>
        <v>1539700812</v>
      </c>
      <c r="CL127" s="130">
        <f t="shared" si="134"/>
        <v>44864678</v>
      </c>
      <c r="CM127" s="130">
        <f t="shared" si="134"/>
        <v>591018660</v>
      </c>
      <c r="CN127" s="130">
        <f t="shared" si="134"/>
        <v>32833600</v>
      </c>
      <c r="CO127" s="137">
        <f t="shared" si="134"/>
        <v>1167729875</v>
      </c>
      <c r="CP127" s="138">
        <f t="shared" si="121"/>
        <v>0.34856894245582681</v>
      </c>
      <c r="CQ127" s="130">
        <f t="shared" ref="CQ127:DK127" ca="1" si="135">SUM(CQ125:CQ126)</f>
        <v>7677182228</v>
      </c>
      <c r="CR127" s="137">
        <f t="shared" ca="1" si="135"/>
        <v>222619392</v>
      </c>
      <c r="CS127" s="137">
        <f t="shared" si="135"/>
        <v>407138354</v>
      </c>
      <c r="CT127" s="137">
        <f t="shared" si="135"/>
        <v>1516692800</v>
      </c>
      <c r="CU127" s="137">
        <f t="shared" si="135"/>
        <v>814562158</v>
      </c>
      <c r="CV127" s="130">
        <f t="shared" si="135"/>
        <v>73146343</v>
      </c>
      <c r="CW127" s="130">
        <f t="shared" si="135"/>
        <v>199380145</v>
      </c>
      <c r="CX127" s="130">
        <f t="shared" si="135"/>
        <v>0</v>
      </c>
      <c r="CY127" s="130">
        <f t="shared" si="135"/>
        <v>0</v>
      </c>
      <c r="CZ127" s="139">
        <f t="shared" si="135"/>
        <v>0</v>
      </c>
      <c r="DA127" s="139">
        <f t="shared" si="135"/>
        <v>1940856</v>
      </c>
      <c r="DB127" s="139">
        <f t="shared" si="135"/>
        <v>124999928</v>
      </c>
      <c r="DC127" s="139">
        <f t="shared" si="135"/>
        <v>1497945826</v>
      </c>
      <c r="DD127" s="139">
        <f t="shared" si="135"/>
        <v>209979717</v>
      </c>
      <c r="DE127" s="139">
        <f t="shared" si="135"/>
        <v>614197737</v>
      </c>
      <c r="DF127" s="139">
        <f t="shared" si="135"/>
        <v>663277184</v>
      </c>
      <c r="DG127" s="139">
        <f t="shared" si="135"/>
        <v>30937372</v>
      </c>
      <c r="DH127" s="139">
        <f t="shared" si="135"/>
        <v>75082063</v>
      </c>
      <c r="DI127" s="139">
        <f t="shared" si="135"/>
        <v>76352999</v>
      </c>
      <c r="DJ127" s="139">
        <f t="shared" si="135"/>
        <v>251373</v>
      </c>
      <c r="DK127" s="139">
        <f t="shared" si="135"/>
        <v>1148677981</v>
      </c>
      <c r="DM127" s="26">
        <f t="shared" si="123"/>
        <v>22024860201</v>
      </c>
      <c r="DN127" s="26">
        <f t="shared" si="124"/>
        <v>22024860201</v>
      </c>
      <c r="DO127" s="26">
        <f t="shared" ca="1" si="125"/>
        <v>22024860201</v>
      </c>
    </row>
    <row r="128" spans="1:120" ht="15.75" thickTop="1" x14ac:dyDescent="0.25">
      <c r="G128" s="35">
        <f>+G116-G127</f>
        <v>0</v>
      </c>
      <c r="H128" s="35">
        <f t="shared" ref="H128:X128" si="136">+H116-H127</f>
        <v>0</v>
      </c>
      <c r="I128" s="35">
        <f t="shared" si="136"/>
        <v>0</v>
      </c>
      <c r="J128" s="35">
        <f t="shared" si="136"/>
        <v>0</v>
      </c>
      <c r="K128" s="35">
        <f t="shared" si="136"/>
        <v>0</v>
      </c>
      <c r="L128" s="35">
        <f t="shared" si="136"/>
        <v>0</v>
      </c>
      <c r="M128" s="35">
        <f t="shared" si="136"/>
        <v>0</v>
      </c>
      <c r="N128" s="35">
        <f t="shared" si="136"/>
        <v>0</v>
      </c>
      <c r="O128" s="35">
        <f t="shared" si="136"/>
        <v>0</v>
      </c>
      <c r="P128" s="35">
        <f t="shared" si="136"/>
        <v>0</v>
      </c>
      <c r="Q128" s="35">
        <f t="shared" si="136"/>
        <v>0</v>
      </c>
      <c r="R128" s="35">
        <f t="shared" si="136"/>
        <v>0</v>
      </c>
      <c r="S128" s="35">
        <f t="shared" si="136"/>
        <v>0</v>
      </c>
      <c r="T128" s="35">
        <f t="shared" si="136"/>
        <v>0</v>
      </c>
      <c r="U128" s="35">
        <f t="shared" si="136"/>
        <v>0</v>
      </c>
      <c r="V128" s="35">
        <f t="shared" si="136"/>
        <v>0</v>
      </c>
      <c r="W128" s="35">
        <f t="shared" si="136"/>
        <v>0</v>
      </c>
      <c r="X128" s="35">
        <f t="shared" si="136"/>
        <v>0</v>
      </c>
      <c r="Y128" s="35">
        <f>+Y116-Y127</f>
        <v>0</v>
      </c>
      <c r="Z128" s="35">
        <f>+Z116-Z127</f>
        <v>0</v>
      </c>
      <c r="AA128" s="35">
        <f>+AA116-AA127</f>
        <v>0</v>
      </c>
      <c r="AC128" s="35">
        <f t="shared" ref="AC128:AT128" si="137">+AC116-AC127</f>
        <v>0</v>
      </c>
      <c r="AD128" s="35">
        <f t="shared" si="137"/>
        <v>0</v>
      </c>
      <c r="AE128" s="35">
        <f t="shared" si="137"/>
        <v>0</v>
      </c>
      <c r="AF128" s="35">
        <f t="shared" si="137"/>
        <v>0</v>
      </c>
      <c r="AG128" s="35">
        <f t="shared" si="137"/>
        <v>0</v>
      </c>
      <c r="AH128" s="35">
        <f t="shared" si="137"/>
        <v>0</v>
      </c>
      <c r="AI128" s="35">
        <f t="shared" si="137"/>
        <v>0</v>
      </c>
      <c r="AJ128" s="35">
        <f t="shared" si="137"/>
        <v>0</v>
      </c>
      <c r="AK128" s="35">
        <f t="shared" si="137"/>
        <v>0</v>
      </c>
      <c r="AL128" s="35">
        <f t="shared" si="137"/>
        <v>0</v>
      </c>
      <c r="AM128" s="35">
        <f t="shared" si="137"/>
        <v>0</v>
      </c>
      <c r="AN128" s="35">
        <f t="shared" si="137"/>
        <v>0</v>
      </c>
      <c r="AO128" s="35">
        <f t="shared" si="137"/>
        <v>0</v>
      </c>
      <c r="AP128" s="35">
        <f t="shared" si="137"/>
        <v>0</v>
      </c>
      <c r="AQ128" s="35">
        <f t="shared" si="137"/>
        <v>0</v>
      </c>
      <c r="AR128" s="35">
        <f t="shared" si="137"/>
        <v>0</v>
      </c>
      <c r="AS128" s="35">
        <f t="shared" si="137"/>
        <v>0</v>
      </c>
      <c r="AT128" s="35">
        <f t="shared" si="137"/>
        <v>0</v>
      </c>
      <c r="AU128" s="35">
        <f>+AU116-AU127</f>
        <v>0</v>
      </c>
      <c r="AV128" s="35">
        <f>+AV116-AV127</f>
        <v>0</v>
      </c>
      <c r="AW128" s="35">
        <f>+AW116-AW127</f>
        <v>0</v>
      </c>
      <c r="AY128" s="35">
        <f>+AY116-AY127</f>
        <v>0</v>
      </c>
      <c r="AZ128" s="35">
        <f t="shared" ref="AZ128:BO128" si="138">+AZ116-AZ127</f>
        <v>0</v>
      </c>
      <c r="BA128" s="35">
        <f t="shared" si="138"/>
        <v>0</v>
      </c>
      <c r="BB128" s="35">
        <f t="shared" si="138"/>
        <v>0</v>
      </c>
      <c r="BC128" s="35">
        <f t="shared" si="138"/>
        <v>0</v>
      </c>
      <c r="BD128" s="35">
        <f t="shared" si="138"/>
        <v>0</v>
      </c>
      <c r="BE128" s="35">
        <f t="shared" si="138"/>
        <v>0</v>
      </c>
      <c r="BF128" s="35">
        <f t="shared" si="138"/>
        <v>0</v>
      </c>
      <c r="BG128" s="35">
        <f t="shared" si="138"/>
        <v>0</v>
      </c>
      <c r="BH128" s="35">
        <f t="shared" si="138"/>
        <v>0</v>
      </c>
      <c r="BI128" s="35">
        <f t="shared" si="138"/>
        <v>0</v>
      </c>
      <c r="BJ128" s="35">
        <f t="shared" si="138"/>
        <v>0</v>
      </c>
      <c r="BK128" s="35">
        <f t="shared" si="138"/>
        <v>0</v>
      </c>
      <c r="BL128" s="35">
        <f t="shared" si="138"/>
        <v>0</v>
      </c>
      <c r="BM128" s="35">
        <f t="shared" si="138"/>
        <v>0</v>
      </c>
      <c r="BN128" s="35">
        <f t="shared" si="138"/>
        <v>0</v>
      </c>
      <c r="BO128" s="35">
        <f t="shared" si="138"/>
        <v>0</v>
      </c>
      <c r="BP128" s="35"/>
      <c r="BQ128" s="35">
        <f>+BQ116-BQ127</f>
        <v>0</v>
      </c>
      <c r="BR128" s="35">
        <f>+BR116-BR127</f>
        <v>0</v>
      </c>
      <c r="BS128" s="35">
        <f>+BS116-BS127</f>
        <v>0</v>
      </c>
      <c r="BU128" s="35">
        <f>+BU116-BU127</f>
        <v>0</v>
      </c>
      <c r="BV128" s="35">
        <f t="shared" ref="BV128:CO128" si="139">+BV116-BV127</f>
        <v>0</v>
      </c>
      <c r="BW128" s="35">
        <f t="shared" si="139"/>
        <v>0</v>
      </c>
      <c r="BX128" s="35">
        <f t="shared" si="139"/>
        <v>0</v>
      </c>
      <c r="BY128" s="35">
        <f t="shared" si="139"/>
        <v>0</v>
      </c>
      <c r="BZ128" s="35">
        <f t="shared" si="139"/>
        <v>0</v>
      </c>
      <c r="CA128" s="35">
        <f t="shared" si="139"/>
        <v>0</v>
      </c>
      <c r="CB128" s="35">
        <f t="shared" si="139"/>
        <v>0</v>
      </c>
      <c r="CC128" s="35">
        <f t="shared" si="139"/>
        <v>0</v>
      </c>
      <c r="CD128" s="35">
        <f t="shared" si="139"/>
        <v>0</v>
      </c>
      <c r="CE128" s="35">
        <f t="shared" si="139"/>
        <v>0</v>
      </c>
      <c r="CF128" s="35">
        <f t="shared" si="139"/>
        <v>0</v>
      </c>
      <c r="CG128" s="35">
        <f t="shared" si="139"/>
        <v>0</v>
      </c>
      <c r="CH128" s="35">
        <f t="shared" si="139"/>
        <v>0</v>
      </c>
      <c r="CI128" s="35">
        <f t="shared" si="139"/>
        <v>0</v>
      </c>
      <c r="CJ128" s="35">
        <f t="shared" si="139"/>
        <v>0</v>
      </c>
      <c r="CK128" s="35">
        <f t="shared" si="139"/>
        <v>0</v>
      </c>
      <c r="CL128" s="35">
        <f t="shared" si="139"/>
        <v>0</v>
      </c>
      <c r="CM128" s="35">
        <f t="shared" si="139"/>
        <v>0</v>
      </c>
      <c r="CN128" s="35">
        <f t="shared" si="139"/>
        <v>0</v>
      </c>
      <c r="CO128" s="35">
        <f t="shared" si="139"/>
        <v>0</v>
      </c>
      <c r="CP128" s="35"/>
      <c r="CQ128" s="35">
        <f ca="1">+CQ116-CQ127</f>
        <v>0</v>
      </c>
      <c r="CR128" s="35">
        <f t="shared" ref="CR128:DK128" ca="1" si="140">+CR116-CR127</f>
        <v>0</v>
      </c>
      <c r="CS128" s="35">
        <f t="shared" si="140"/>
        <v>0</v>
      </c>
      <c r="CT128" s="35">
        <f t="shared" si="140"/>
        <v>0</v>
      </c>
      <c r="CU128" s="35">
        <f t="shared" si="140"/>
        <v>0</v>
      </c>
      <c r="CV128" s="35">
        <f t="shared" si="140"/>
        <v>0</v>
      </c>
      <c r="CW128" s="35">
        <f t="shared" si="140"/>
        <v>0</v>
      </c>
      <c r="CX128" s="35">
        <f t="shared" si="140"/>
        <v>0</v>
      </c>
      <c r="CY128" s="35">
        <f t="shared" si="140"/>
        <v>0</v>
      </c>
      <c r="CZ128" s="35">
        <f t="shared" si="140"/>
        <v>0</v>
      </c>
      <c r="DA128" s="35">
        <f t="shared" si="140"/>
        <v>0</v>
      </c>
      <c r="DB128" s="35">
        <f t="shared" si="140"/>
        <v>0</v>
      </c>
      <c r="DC128" s="35">
        <f t="shared" si="140"/>
        <v>0</v>
      </c>
      <c r="DD128" s="35">
        <f t="shared" si="140"/>
        <v>0</v>
      </c>
      <c r="DE128" s="35">
        <f t="shared" si="140"/>
        <v>0</v>
      </c>
      <c r="DF128" s="35">
        <f t="shared" si="140"/>
        <v>0</v>
      </c>
      <c r="DG128" s="35">
        <f t="shared" si="140"/>
        <v>0</v>
      </c>
      <c r="DH128" s="35">
        <f t="shared" si="140"/>
        <v>0</v>
      </c>
      <c r="DI128" s="35">
        <f t="shared" si="140"/>
        <v>0</v>
      </c>
      <c r="DJ128" s="35">
        <f t="shared" si="140"/>
        <v>0</v>
      </c>
      <c r="DK128" s="35">
        <f t="shared" si="140"/>
        <v>0</v>
      </c>
    </row>
    <row r="129" spans="3:73" x14ac:dyDescent="0.25">
      <c r="C129" s="140"/>
      <c r="D129" s="140"/>
      <c r="E129" s="141"/>
      <c r="F129" s="142"/>
      <c r="G129" s="143"/>
      <c r="AR129" s="35"/>
    </row>
    <row r="131" spans="3:73" x14ac:dyDescent="0.25">
      <c r="AC131" s="35">
        <f>+AC127+AY127</f>
        <v>22024860201</v>
      </c>
      <c r="BU131" s="35">
        <f ca="1">+BU127+CQ127</f>
        <v>22024860201</v>
      </c>
    </row>
    <row r="132" spans="3:73" x14ac:dyDescent="0.25">
      <c r="D132" s="35"/>
    </row>
  </sheetData>
  <mergeCells count="110">
    <mergeCell ref="C1:F1"/>
    <mergeCell ref="G1:G3"/>
    <mergeCell ref="H1:H3"/>
    <mergeCell ref="I1:I3"/>
    <mergeCell ref="J1:J3"/>
    <mergeCell ref="K1:K3"/>
    <mergeCell ref="R1:R3"/>
    <mergeCell ref="S1:S3"/>
    <mergeCell ref="T1:T3"/>
    <mergeCell ref="U1:U3"/>
    <mergeCell ref="V1:V3"/>
    <mergeCell ref="W1:W3"/>
    <mergeCell ref="L1:L3"/>
    <mergeCell ref="M1:M3"/>
    <mergeCell ref="N1:N3"/>
    <mergeCell ref="O1:O3"/>
    <mergeCell ref="P1:P3"/>
    <mergeCell ref="Q1:Q3"/>
    <mergeCell ref="AF1:AG2"/>
    <mergeCell ref="AH1:AI2"/>
    <mergeCell ref="AJ1:AK2"/>
    <mergeCell ref="AL1:AM2"/>
    <mergeCell ref="AN1:AO2"/>
    <mergeCell ref="AP1:AQ2"/>
    <mergeCell ref="X1:X3"/>
    <mergeCell ref="Y1:Y3"/>
    <mergeCell ref="Z1:Z3"/>
    <mergeCell ref="AA1:AA3"/>
    <mergeCell ref="AB1:AC2"/>
    <mergeCell ref="AD1:AE2"/>
    <mergeCell ref="BJ1:BK2"/>
    <mergeCell ref="BL1:BM2"/>
    <mergeCell ref="BN1:BO2"/>
    <mergeCell ref="AR1:AS2"/>
    <mergeCell ref="AT1:AU2"/>
    <mergeCell ref="AV1:AW2"/>
    <mergeCell ref="AX1:AY2"/>
    <mergeCell ref="AZ1:BA2"/>
    <mergeCell ref="BB1:BC2"/>
    <mergeCell ref="DF1:DG2"/>
    <mergeCell ref="DH1:DI2"/>
    <mergeCell ref="DJ1:DK2"/>
    <mergeCell ref="CN1:CO2"/>
    <mergeCell ref="CP1:CQ2"/>
    <mergeCell ref="CR1:CS2"/>
    <mergeCell ref="CT1:CU2"/>
    <mergeCell ref="CV1:CW2"/>
    <mergeCell ref="CX1:CY2"/>
    <mergeCell ref="A2:A3"/>
    <mergeCell ref="B2:B3"/>
    <mergeCell ref="C2:C3"/>
    <mergeCell ref="D2:D3"/>
    <mergeCell ref="E2:E3"/>
    <mergeCell ref="F2:F3"/>
    <mergeCell ref="CZ1:DA2"/>
    <mergeCell ref="DB1:DC2"/>
    <mergeCell ref="DD1:DE2"/>
    <mergeCell ref="CB1:CC2"/>
    <mergeCell ref="CD1:CE2"/>
    <mergeCell ref="CF1:CG2"/>
    <mergeCell ref="CH1:CI2"/>
    <mergeCell ref="CJ1:CK2"/>
    <mergeCell ref="CL1:CM2"/>
    <mergeCell ref="BP1:BQ2"/>
    <mergeCell ref="BR1:BS2"/>
    <mergeCell ref="BT1:BU2"/>
    <mergeCell ref="BV1:BW2"/>
    <mergeCell ref="BX1:BY2"/>
    <mergeCell ref="BZ1:CA2"/>
    <mergeCell ref="BD1:BE2"/>
    <mergeCell ref="BF1:BG2"/>
    <mergeCell ref="BH1:BI2"/>
    <mergeCell ref="B25:B27"/>
    <mergeCell ref="B30:B38"/>
    <mergeCell ref="A39:A46"/>
    <mergeCell ref="B39:B41"/>
    <mergeCell ref="B43:B44"/>
    <mergeCell ref="B45:B46"/>
    <mergeCell ref="B4:B6"/>
    <mergeCell ref="B8:B11"/>
    <mergeCell ref="B17:B18"/>
    <mergeCell ref="B19:B20"/>
    <mergeCell ref="B21:B22"/>
    <mergeCell ref="B24:E24"/>
    <mergeCell ref="A68:A72"/>
    <mergeCell ref="B69:B71"/>
    <mergeCell ref="A73:A78"/>
    <mergeCell ref="B73:B74"/>
    <mergeCell ref="B75:B78"/>
    <mergeCell ref="B79:F79"/>
    <mergeCell ref="A49:A56"/>
    <mergeCell ref="B49:B50"/>
    <mergeCell ref="B51:B56"/>
    <mergeCell ref="B57:E57"/>
    <mergeCell ref="A58:A67"/>
    <mergeCell ref="B58:B60"/>
    <mergeCell ref="B62:B67"/>
    <mergeCell ref="A108:A113"/>
    <mergeCell ref="B108:B111"/>
    <mergeCell ref="B114:D114"/>
    <mergeCell ref="C116:E116"/>
    <mergeCell ref="C127:D127"/>
    <mergeCell ref="A80:A93"/>
    <mergeCell ref="B80:B86"/>
    <mergeCell ref="B90:B92"/>
    <mergeCell ref="B94:F94"/>
    <mergeCell ref="A95:A106"/>
    <mergeCell ref="B95:B97"/>
    <mergeCell ref="B98:B99"/>
    <mergeCell ref="B100:B106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0152 DEL 23 DE JUNIO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R132"/>
  <sheetViews>
    <sheetView showGridLines="0" tabSelected="1" zoomScaleNormal="100" zoomScalePageLayoutView="50" workbookViewId="0">
      <pane xSplit="3" ySplit="3" topLeftCell="D156" activePane="bottomRight" state="frozen"/>
      <selection activeCell="Z102" sqref="Z102"/>
      <selection pane="topRight" activeCell="Z102" sqref="Z102"/>
      <selection pane="bottomLeft" activeCell="Z102" sqref="Z102"/>
      <selection pane="bottomRight" activeCell="DP135" sqref="DP135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4.85546875" customWidth="1"/>
    <col min="5" max="5" width="6.28515625" customWidth="1"/>
    <col min="6" max="6" width="14.28515625" customWidth="1"/>
    <col min="7" max="7" width="15.5703125" customWidth="1"/>
    <col min="8" max="8" width="13.42578125" hidden="1" customWidth="1"/>
    <col min="9" max="9" width="14.42578125" hidden="1" customWidth="1"/>
    <col min="10" max="10" width="14.7109375" hidden="1" customWidth="1"/>
    <col min="11" max="11" width="14.42578125" hidden="1" customWidth="1"/>
    <col min="12" max="12" width="12.28515625" hidden="1" customWidth="1"/>
    <col min="13" max="13" width="13.140625" hidden="1" customWidth="1"/>
    <col min="14" max="14" width="11.28515625" hidden="1" customWidth="1"/>
    <col min="15" max="15" width="9.140625" hidden="1" customWidth="1"/>
    <col min="16" max="16" width="10.140625" hidden="1" customWidth="1"/>
    <col min="17" max="17" width="10.7109375" hidden="1" customWidth="1"/>
    <col min="18" max="18" width="11.140625" hidden="1" customWidth="1"/>
    <col min="19" max="19" width="12.7109375" hidden="1" customWidth="1"/>
    <col min="20" max="20" width="11.140625" hidden="1" customWidth="1"/>
    <col min="21" max="21" width="12" hidden="1" customWidth="1"/>
    <col min="22" max="22" width="12.7109375" hidden="1" customWidth="1"/>
    <col min="23" max="23" width="13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2.7109375" hidden="1" customWidth="1"/>
    <col min="28" max="28" width="8.28515625" customWidth="1"/>
    <col min="29" max="29" width="14.7109375" bestFit="1" customWidth="1"/>
    <col min="30" max="30" width="13.5703125" hidden="1" customWidth="1"/>
    <col min="31" max="31" width="14" hidden="1" customWidth="1"/>
    <col min="32" max="32" width="17.28515625" hidden="1" customWidth="1"/>
    <col min="33" max="33" width="14.57031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70" width="16.5703125" hidden="1" customWidth="1"/>
    <col min="71" max="71" width="14" hidden="1" customWidth="1"/>
    <col min="72" max="72" width="10.28515625" customWidth="1"/>
    <col min="73" max="73" width="14.7109375" bestFit="1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3.710937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5" customWidth="1"/>
    <col min="96" max="96" width="13.7109375" hidden="1" customWidth="1"/>
    <col min="97" max="97" width="14.42578125" hidden="1" customWidth="1"/>
    <col min="98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5.140625" customWidth="1"/>
    <col min="117" max="117" width="2.140625" bestFit="1" customWidth="1"/>
    <col min="118" max="118" width="20.140625" customWidth="1"/>
    <col min="119" max="119" width="19" customWidth="1"/>
    <col min="120" max="120" width="17.140625" customWidth="1"/>
    <col min="121" max="121" width="14.28515625" customWidth="1"/>
  </cols>
  <sheetData>
    <row r="1" spans="1:122" ht="15" customHeight="1" x14ac:dyDescent="0.25">
      <c r="C1" s="157" t="s">
        <v>0</v>
      </c>
      <c r="D1" s="157"/>
      <c r="E1" s="157"/>
      <c r="F1" s="157"/>
      <c r="G1" s="227" t="s">
        <v>11</v>
      </c>
      <c r="H1" s="227" t="s">
        <v>11</v>
      </c>
      <c r="I1" s="227" t="s">
        <v>11</v>
      </c>
      <c r="J1" s="227" t="s">
        <v>11</v>
      </c>
      <c r="K1" s="227" t="s">
        <v>11</v>
      </c>
      <c r="L1" s="227" t="s">
        <v>11</v>
      </c>
      <c r="M1" s="227" t="s">
        <v>11</v>
      </c>
      <c r="N1" s="227" t="s">
        <v>11</v>
      </c>
      <c r="O1" s="227" t="s">
        <v>11</v>
      </c>
      <c r="P1" s="227" t="s">
        <v>11</v>
      </c>
      <c r="Q1" s="227" t="s">
        <v>11</v>
      </c>
      <c r="R1" s="227" t="s">
        <v>11</v>
      </c>
      <c r="S1" s="227" t="s">
        <v>11</v>
      </c>
      <c r="T1" s="227" t="s">
        <v>11</v>
      </c>
      <c r="U1" s="227" t="s">
        <v>11</v>
      </c>
      <c r="V1" s="227" t="s">
        <v>11</v>
      </c>
      <c r="W1" s="227" t="s">
        <v>11</v>
      </c>
      <c r="X1" s="227" t="s">
        <v>11</v>
      </c>
      <c r="Y1" s="227" t="s">
        <v>11</v>
      </c>
      <c r="Z1" s="227" t="s">
        <v>11</v>
      </c>
      <c r="AA1" s="227" t="s">
        <v>11</v>
      </c>
      <c r="AB1" s="222" t="s">
        <v>365</v>
      </c>
      <c r="AC1" s="222"/>
      <c r="AD1" s="222" t="s">
        <v>365</v>
      </c>
      <c r="AE1" s="222"/>
      <c r="AF1" s="222" t="s">
        <v>365</v>
      </c>
      <c r="AG1" s="222"/>
      <c r="AH1" s="222" t="s">
        <v>365</v>
      </c>
      <c r="AI1" s="222"/>
      <c r="AJ1" s="222" t="s">
        <v>365</v>
      </c>
      <c r="AK1" s="222"/>
      <c r="AL1" s="222" t="s">
        <v>365</v>
      </c>
      <c r="AM1" s="222"/>
      <c r="AN1" s="222" t="s">
        <v>365</v>
      </c>
      <c r="AO1" s="222"/>
      <c r="AP1" s="222" t="s">
        <v>365</v>
      </c>
      <c r="AQ1" s="222"/>
      <c r="AR1" s="222" t="s">
        <v>365</v>
      </c>
      <c r="AS1" s="222"/>
      <c r="AT1" s="222" t="s">
        <v>365</v>
      </c>
      <c r="AU1" s="222"/>
      <c r="AV1" s="222" t="s">
        <v>365</v>
      </c>
      <c r="AW1" s="222"/>
      <c r="AX1" s="223" t="s">
        <v>367</v>
      </c>
      <c r="AY1" s="224"/>
      <c r="AZ1" s="222" t="s">
        <v>368</v>
      </c>
      <c r="BA1" s="222"/>
      <c r="BB1" s="222" t="s">
        <v>368</v>
      </c>
      <c r="BC1" s="222"/>
      <c r="BD1" s="222" t="s">
        <v>368</v>
      </c>
      <c r="BE1" s="222"/>
      <c r="BF1" s="222" t="s">
        <v>368</v>
      </c>
      <c r="BG1" s="222"/>
      <c r="BH1" s="222" t="s">
        <v>368</v>
      </c>
      <c r="BI1" s="222"/>
      <c r="BJ1" s="222" t="s">
        <v>368</v>
      </c>
      <c r="BK1" s="222"/>
      <c r="BL1" s="222" t="s">
        <v>368</v>
      </c>
      <c r="BM1" s="222"/>
      <c r="BN1" s="222" t="s">
        <v>368</v>
      </c>
      <c r="BO1" s="222"/>
      <c r="BP1" s="222" t="s">
        <v>368</v>
      </c>
      <c r="BQ1" s="222"/>
      <c r="BR1" s="222" t="s">
        <v>368</v>
      </c>
      <c r="BS1" s="222"/>
      <c r="BT1" s="222" t="s">
        <v>368</v>
      </c>
      <c r="BU1" s="222"/>
      <c r="BV1" s="222" t="s">
        <v>368</v>
      </c>
      <c r="BW1" s="222"/>
      <c r="BX1" s="222" t="s">
        <v>368</v>
      </c>
      <c r="BY1" s="222"/>
      <c r="BZ1" s="222" t="s">
        <v>368</v>
      </c>
      <c r="CA1" s="222"/>
      <c r="CB1" s="222" t="s">
        <v>368</v>
      </c>
      <c r="CC1" s="222"/>
      <c r="CD1" s="222" t="s">
        <v>368</v>
      </c>
      <c r="CE1" s="222"/>
      <c r="CF1" s="222" t="s">
        <v>368</v>
      </c>
      <c r="CG1" s="222"/>
      <c r="CH1" s="222" t="s">
        <v>368</v>
      </c>
      <c r="CI1" s="222"/>
      <c r="CJ1" s="222" t="s">
        <v>368</v>
      </c>
      <c r="CK1" s="222"/>
      <c r="CL1" s="222" t="s">
        <v>368</v>
      </c>
      <c r="CM1" s="222"/>
      <c r="CN1" s="222" t="s">
        <v>368</v>
      </c>
      <c r="CO1" s="222"/>
      <c r="CP1" s="218" t="s">
        <v>369</v>
      </c>
      <c r="CQ1" s="219"/>
      <c r="CR1" s="218" t="s">
        <v>369</v>
      </c>
      <c r="CS1" s="219"/>
      <c r="CT1" s="218" t="s">
        <v>369</v>
      </c>
      <c r="CU1" s="219"/>
      <c r="CV1" s="218" t="s">
        <v>369</v>
      </c>
      <c r="CW1" s="219"/>
      <c r="CX1" s="218" t="s">
        <v>369</v>
      </c>
      <c r="CY1" s="219"/>
      <c r="CZ1" s="218" t="s">
        <v>369</v>
      </c>
      <c r="DA1" s="219"/>
      <c r="DB1" s="218" t="s">
        <v>369</v>
      </c>
      <c r="DC1" s="219"/>
      <c r="DD1" s="218" t="s">
        <v>369</v>
      </c>
      <c r="DE1" s="219"/>
      <c r="DF1" s="218" t="s">
        <v>369</v>
      </c>
      <c r="DG1" s="219"/>
      <c r="DH1" s="218" t="s">
        <v>369</v>
      </c>
      <c r="DI1" s="219"/>
      <c r="DJ1" s="218" t="s">
        <v>369</v>
      </c>
      <c r="DK1" s="219"/>
    </row>
    <row r="2" spans="1:122" ht="26.25" customHeight="1" x14ac:dyDescent="0.25">
      <c r="A2" s="163" t="s">
        <v>5</v>
      </c>
      <c r="B2" s="163" t="s">
        <v>6</v>
      </c>
      <c r="C2" s="164" t="s">
        <v>7</v>
      </c>
      <c r="D2" s="163" t="s">
        <v>8</v>
      </c>
      <c r="E2" s="166" t="s">
        <v>9</v>
      </c>
      <c r="F2" s="179" t="s">
        <v>10</v>
      </c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8"/>
      <c r="X2" s="228"/>
      <c r="Y2" s="228"/>
      <c r="Z2" s="228"/>
      <c r="AA2" s="228"/>
      <c r="AB2" s="222"/>
      <c r="AC2" s="222"/>
      <c r="AD2" s="222"/>
      <c r="AE2" s="222"/>
      <c r="AF2" s="222"/>
      <c r="AG2" s="222"/>
      <c r="AH2" s="222"/>
      <c r="AI2" s="222"/>
      <c r="AJ2" s="222"/>
      <c r="AK2" s="222"/>
      <c r="AL2" s="222"/>
      <c r="AM2" s="222"/>
      <c r="AN2" s="222"/>
      <c r="AO2" s="222"/>
      <c r="AP2" s="222"/>
      <c r="AQ2" s="222"/>
      <c r="AR2" s="222"/>
      <c r="AS2" s="222"/>
      <c r="AT2" s="222"/>
      <c r="AU2" s="222"/>
      <c r="AV2" s="222"/>
      <c r="AW2" s="222"/>
      <c r="AX2" s="225"/>
      <c r="AY2" s="226"/>
      <c r="AZ2" s="222"/>
      <c r="BA2" s="222"/>
      <c r="BB2" s="222"/>
      <c r="BC2" s="222"/>
      <c r="BD2" s="222"/>
      <c r="BE2" s="222"/>
      <c r="BF2" s="222"/>
      <c r="BG2" s="222"/>
      <c r="BH2" s="222"/>
      <c r="BI2" s="222"/>
      <c r="BJ2" s="222"/>
      <c r="BK2" s="222"/>
      <c r="BL2" s="222"/>
      <c r="BM2" s="222"/>
      <c r="BN2" s="222"/>
      <c r="BO2" s="222"/>
      <c r="BP2" s="222"/>
      <c r="BQ2" s="222"/>
      <c r="BR2" s="222"/>
      <c r="BS2" s="222"/>
      <c r="BT2" s="222"/>
      <c r="BU2" s="222"/>
      <c r="BV2" s="222"/>
      <c r="BW2" s="222"/>
      <c r="BX2" s="222"/>
      <c r="BY2" s="222"/>
      <c r="BZ2" s="222"/>
      <c r="CA2" s="222"/>
      <c r="CB2" s="222"/>
      <c r="CC2" s="222"/>
      <c r="CD2" s="222"/>
      <c r="CE2" s="222"/>
      <c r="CF2" s="222"/>
      <c r="CG2" s="222"/>
      <c r="CH2" s="222"/>
      <c r="CI2" s="222"/>
      <c r="CJ2" s="222"/>
      <c r="CK2" s="222"/>
      <c r="CL2" s="222"/>
      <c r="CM2" s="222"/>
      <c r="CN2" s="222"/>
      <c r="CO2" s="222"/>
      <c r="CP2" s="220"/>
      <c r="CQ2" s="221"/>
      <c r="CR2" s="220"/>
      <c r="CS2" s="221"/>
      <c r="CT2" s="220"/>
      <c r="CU2" s="221"/>
      <c r="CV2" s="220"/>
      <c r="CW2" s="221"/>
      <c r="CX2" s="220"/>
      <c r="CY2" s="221"/>
      <c r="CZ2" s="220"/>
      <c r="DA2" s="221"/>
      <c r="DB2" s="220"/>
      <c r="DC2" s="221"/>
      <c r="DD2" s="220"/>
      <c r="DE2" s="221"/>
      <c r="DF2" s="220"/>
      <c r="DG2" s="221"/>
      <c r="DH2" s="220"/>
      <c r="DI2" s="221"/>
      <c r="DJ2" s="220"/>
      <c r="DK2" s="221"/>
    </row>
    <row r="3" spans="1:122" s="16" customFormat="1" ht="43.5" customHeight="1" x14ac:dyDescent="0.2">
      <c r="A3" s="163"/>
      <c r="B3" s="163"/>
      <c r="C3" s="165"/>
      <c r="D3" s="163"/>
      <c r="E3" s="167"/>
      <c r="F3" s="180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144" t="s">
        <v>36</v>
      </c>
      <c r="AC3" s="144" t="s">
        <v>366</v>
      </c>
      <c r="AD3" s="144" t="s">
        <v>36</v>
      </c>
      <c r="AE3" s="144" t="s">
        <v>366</v>
      </c>
      <c r="AF3" s="144" t="s">
        <v>36</v>
      </c>
      <c r="AG3" s="144" t="s">
        <v>366</v>
      </c>
      <c r="AH3" s="144" t="s">
        <v>36</v>
      </c>
      <c r="AI3" s="144" t="s">
        <v>366</v>
      </c>
      <c r="AJ3" s="144" t="s">
        <v>36</v>
      </c>
      <c r="AK3" s="144" t="s">
        <v>366</v>
      </c>
      <c r="AL3" s="144" t="s">
        <v>36</v>
      </c>
      <c r="AM3" s="144" t="s">
        <v>366</v>
      </c>
      <c r="AN3" s="144" t="s">
        <v>36</v>
      </c>
      <c r="AO3" s="144" t="s">
        <v>366</v>
      </c>
      <c r="AP3" s="144" t="s">
        <v>36</v>
      </c>
      <c r="AQ3" s="144" t="s">
        <v>366</v>
      </c>
      <c r="AR3" s="144" t="s">
        <v>36</v>
      </c>
      <c r="AS3" s="144" t="s">
        <v>366</v>
      </c>
      <c r="AT3" s="144" t="s">
        <v>36</v>
      </c>
      <c r="AU3" s="144" t="s">
        <v>366</v>
      </c>
      <c r="AV3" s="144" t="s">
        <v>36</v>
      </c>
      <c r="AW3" s="144" t="s">
        <v>366</v>
      </c>
      <c r="AX3" s="145" t="s">
        <v>36</v>
      </c>
      <c r="AY3" s="145" t="s">
        <v>366</v>
      </c>
      <c r="AZ3" s="144" t="s">
        <v>36</v>
      </c>
      <c r="BA3" s="144" t="s">
        <v>366</v>
      </c>
      <c r="BB3" s="144" t="s">
        <v>36</v>
      </c>
      <c r="BC3" s="144" t="s">
        <v>366</v>
      </c>
      <c r="BD3" s="144" t="s">
        <v>36</v>
      </c>
      <c r="BE3" s="144" t="s">
        <v>366</v>
      </c>
      <c r="BF3" s="144" t="s">
        <v>36</v>
      </c>
      <c r="BG3" s="144" t="s">
        <v>366</v>
      </c>
      <c r="BH3" s="144" t="s">
        <v>36</v>
      </c>
      <c r="BI3" s="144" t="s">
        <v>366</v>
      </c>
      <c r="BJ3" s="144" t="s">
        <v>36</v>
      </c>
      <c r="BK3" s="144" t="s">
        <v>366</v>
      </c>
      <c r="BL3" s="144" t="s">
        <v>36</v>
      </c>
      <c r="BM3" s="144" t="s">
        <v>366</v>
      </c>
      <c r="BN3" s="144" t="s">
        <v>36</v>
      </c>
      <c r="BO3" s="144" t="s">
        <v>366</v>
      </c>
      <c r="BP3" s="144" t="s">
        <v>36</v>
      </c>
      <c r="BQ3" s="144" t="s">
        <v>366</v>
      </c>
      <c r="BR3" s="144" t="s">
        <v>36</v>
      </c>
      <c r="BS3" s="144" t="s">
        <v>366</v>
      </c>
      <c r="BT3" s="144" t="s">
        <v>36</v>
      </c>
      <c r="BU3" s="144" t="s">
        <v>366</v>
      </c>
      <c r="BV3" s="144" t="s">
        <v>36</v>
      </c>
      <c r="BW3" s="144" t="s">
        <v>366</v>
      </c>
      <c r="BX3" s="144" t="s">
        <v>36</v>
      </c>
      <c r="BY3" s="144" t="s">
        <v>366</v>
      </c>
      <c r="BZ3" s="144" t="s">
        <v>36</v>
      </c>
      <c r="CA3" s="144" t="s">
        <v>366</v>
      </c>
      <c r="CB3" s="144" t="s">
        <v>36</v>
      </c>
      <c r="CC3" s="144" t="s">
        <v>366</v>
      </c>
      <c r="CD3" s="144" t="s">
        <v>36</v>
      </c>
      <c r="CE3" s="144" t="s">
        <v>366</v>
      </c>
      <c r="CF3" s="144" t="s">
        <v>36</v>
      </c>
      <c r="CG3" s="144" t="s">
        <v>366</v>
      </c>
      <c r="CH3" s="144" t="s">
        <v>36</v>
      </c>
      <c r="CI3" s="144" t="s">
        <v>366</v>
      </c>
      <c r="CJ3" s="144" t="s">
        <v>36</v>
      </c>
      <c r="CK3" s="144" t="s">
        <v>366</v>
      </c>
      <c r="CL3" s="144" t="s">
        <v>36</v>
      </c>
      <c r="CM3" s="144" t="s">
        <v>366</v>
      </c>
      <c r="CN3" s="144" t="s">
        <v>36</v>
      </c>
      <c r="CO3" s="144" t="s">
        <v>366</v>
      </c>
      <c r="CP3" s="145" t="s">
        <v>36</v>
      </c>
      <c r="CQ3" s="145" t="s">
        <v>366</v>
      </c>
      <c r="CR3" s="145" t="s">
        <v>36</v>
      </c>
      <c r="CS3" s="145" t="s">
        <v>366</v>
      </c>
      <c r="CT3" s="145" t="s">
        <v>36</v>
      </c>
      <c r="CU3" s="145" t="s">
        <v>366</v>
      </c>
      <c r="CV3" s="145" t="s">
        <v>36</v>
      </c>
      <c r="CW3" s="145" t="s">
        <v>366</v>
      </c>
      <c r="CX3" s="145" t="s">
        <v>36</v>
      </c>
      <c r="CY3" s="145" t="s">
        <v>366</v>
      </c>
      <c r="CZ3" s="145" t="s">
        <v>36</v>
      </c>
      <c r="DA3" s="145" t="s">
        <v>366</v>
      </c>
      <c r="DB3" s="145" t="s">
        <v>36</v>
      </c>
      <c r="DC3" s="145" t="s">
        <v>366</v>
      </c>
      <c r="DD3" s="145" t="s">
        <v>36</v>
      </c>
      <c r="DE3" s="145" t="s">
        <v>366</v>
      </c>
      <c r="DF3" s="145" t="s">
        <v>36</v>
      </c>
      <c r="DG3" s="145" t="s">
        <v>366</v>
      </c>
      <c r="DH3" s="145" t="s">
        <v>36</v>
      </c>
      <c r="DI3" s="145" t="s">
        <v>366</v>
      </c>
      <c r="DJ3" s="145" t="s">
        <v>36</v>
      </c>
      <c r="DK3" s="145" t="s">
        <v>366</v>
      </c>
      <c r="DN3" s="147" t="s">
        <v>5</v>
      </c>
      <c r="DO3" s="148" t="s">
        <v>375</v>
      </c>
      <c r="DP3" s="147" t="s">
        <v>376</v>
      </c>
      <c r="DQ3" s="149" t="s">
        <v>377</v>
      </c>
    </row>
    <row r="4" spans="1:122" ht="48" hidden="1" customHeight="1" x14ac:dyDescent="0.25">
      <c r="A4" s="17" t="s">
        <v>46</v>
      </c>
      <c r="B4" s="181" t="s">
        <v>47</v>
      </c>
      <c r="C4" s="18" t="s">
        <v>48</v>
      </c>
      <c r="D4" s="19" t="s">
        <v>49</v>
      </c>
      <c r="E4" s="20">
        <v>510</v>
      </c>
      <c r="F4" s="21" t="s">
        <v>50</v>
      </c>
      <c r="G4" s="22">
        <f t="shared" ref="G4:G23" si="0">SUM(H4:AA4)</f>
        <v>44000000</v>
      </c>
      <c r="H4" s="22"/>
      <c r="I4" s="22">
        <v>16000000</v>
      </c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>
        <v>23000000</v>
      </c>
      <c r="V4" s="22"/>
      <c r="W4" s="22"/>
      <c r="X4" s="22"/>
      <c r="Y4" s="22"/>
      <c r="Z4" s="22"/>
      <c r="AA4" s="22">
        <f>5000000</f>
        <v>5000000</v>
      </c>
      <c r="AB4" s="23">
        <f t="shared" ref="AB4:AB73" si="1">+AC4/G4</f>
        <v>0.99630881818181816</v>
      </c>
      <c r="AC4" s="22">
        <f t="shared" ref="AC4:AC23" si="2">SUM(AD4:AW4)</f>
        <v>43837588</v>
      </c>
      <c r="AD4" s="24"/>
      <c r="AE4" s="22">
        <f>+'[1]ENERO 2017'!$K$518</f>
        <v>16000000</v>
      </c>
      <c r="AF4" s="24"/>
      <c r="AG4" s="24"/>
      <c r="AH4" s="22"/>
      <c r="AI4" s="25"/>
      <c r="AJ4" s="25"/>
      <c r="AK4" s="25"/>
      <c r="AL4" s="25"/>
      <c r="AM4" s="25"/>
      <c r="AN4" s="25"/>
      <c r="AO4" s="25"/>
      <c r="AP4" s="25"/>
      <c r="AQ4" s="22">
        <f>+'[2]FEBRERO 2017'!$W$817</f>
        <v>23000000</v>
      </c>
      <c r="AR4" s="25"/>
      <c r="AS4" s="25"/>
      <c r="AT4" s="25"/>
      <c r="AU4" s="25"/>
      <c r="AV4" s="25"/>
      <c r="AW4" s="22">
        <f>+'[3]JUNIO 2017'!$AC$1319</f>
        <v>4837588</v>
      </c>
      <c r="AX4" s="23">
        <f t="shared" ref="AX4:AX73" si="3">1-AB4</f>
        <v>3.6911818181818434E-3</v>
      </c>
      <c r="AY4" s="22">
        <f t="shared" ref="AY4:AY15" si="4">SUM(AZ4:BS4)</f>
        <v>162412</v>
      </c>
      <c r="AZ4" s="22">
        <f t="shared" ref="AZ4:BO19" si="5">+H4-AD4</f>
        <v>0</v>
      </c>
      <c r="BA4" s="22">
        <f t="shared" si="5"/>
        <v>0</v>
      </c>
      <c r="BB4" s="22">
        <f t="shared" si="5"/>
        <v>0</v>
      </c>
      <c r="BC4" s="22">
        <f t="shared" si="5"/>
        <v>0</v>
      </c>
      <c r="BD4" s="22">
        <f t="shared" si="5"/>
        <v>0</v>
      </c>
      <c r="BE4" s="22">
        <f t="shared" si="5"/>
        <v>0</v>
      </c>
      <c r="BF4" s="22">
        <f t="shared" si="5"/>
        <v>0</v>
      </c>
      <c r="BG4" s="22">
        <f t="shared" si="5"/>
        <v>0</v>
      </c>
      <c r="BH4" s="22">
        <f t="shared" si="5"/>
        <v>0</v>
      </c>
      <c r="BI4" s="22">
        <f t="shared" si="5"/>
        <v>0</v>
      </c>
      <c r="BJ4" s="22">
        <f t="shared" si="5"/>
        <v>0</v>
      </c>
      <c r="BK4" s="22">
        <f t="shared" si="5"/>
        <v>0</v>
      </c>
      <c r="BL4" s="22">
        <f t="shared" si="5"/>
        <v>0</v>
      </c>
      <c r="BM4" s="22">
        <f t="shared" si="5"/>
        <v>0</v>
      </c>
      <c r="BN4" s="22">
        <f t="shared" si="5"/>
        <v>0</v>
      </c>
      <c r="BO4" s="22">
        <f t="shared" si="5"/>
        <v>0</v>
      </c>
      <c r="BP4" s="22">
        <f t="shared" ref="BP4:BS23" si="6">+X4-AT4</f>
        <v>0</v>
      </c>
      <c r="BQ4" s="22">
        <f t="shared" si="6"/>
        <v>0</v>
      </c>
      <c r="BR4" s="22">
        <f t="shared" si="6"/>
        <v>0</v>
      </c>
      <c r="BS4" s="22">
        <f t="shared" si="6"/>
        <v>162412</v>
      </c>
      <c r="BT4" s="23">
        <f t="shared" ref="BT4:BT73" si="7">+BU4/G4</f>
        <v>0.7417517954545455</v>
      </c>
      <c r="BU4" s="22">
        <f t="shared" ref="BU4:BU23" si="8">SUM(BV4:CO4)</f>
        <v>32637079</v>
      </c>
      <c r="BV4" s="22"/>
      <c r="BW4" s="22">
        <f>+'[4]MAYO 2017'!$H$1138</f>
        <v>16000000</v>
      </c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>
        <f>+'[5]AGOSTO 2017'!$H$2232</f>
        <v>11799491</v>
      </c>
      <c r="CJ4" s="22"/>
      <c r="CK4" s="22"/>
      <c r="CL4" s="22"/>
      <c r="CM4" s="22"/>
      <c r="CN4" s="22"/>
      <c r="CO4" s="22">
        <f>+'[3]JUNIO 2017'!$H$1337+'[3]JUNIO 2017'!$H$1340</f>
        <v>4837588</v>
      </c>
      <c r="CP4" s="23">
        <f t="shared" ref="CP4:CP67" si="9">1-BT4</f>
        <v>0.2582482045454545</v>
      </c>
      <c r="CQ4" s="22">
        <f t="shared" ref="CQ4:CQ23" si="10">SUM(CR4:DK4)</f>
        <v>11362921</v>
      </c>
      <c r="CR4" s="22">
        <f>H4-BV4</f>
        <v>0</v>
      </c>
      <c r="CS4" s="22">
        <f t="shared" ref="CS4:DH21" si="11">I4-BW4</f>
        <v>0</v>
      </c>
      <c r="CT4" s="22">
        <f t="shared" si="11"/>
        <v>0</v>
      </c>
      <c r="CU4" s="22">
        <f t="shared" si="11"/>
        <v>0</v>
      </c>
      <c r="CV4" s="22">
        <f t="shared" si="11"/>
        <v>0</v>
      </c>
      <c r="CW4" s="22">
        <f t="shared" si="11"/>
        <v>0</v>
      </c>
      <c r="CX4" s="22">
        <f t="shared" si="11"/>
        <v>0</v>
      </c>
      <c r="CY4" s="22">
        <f t="shared" si="11"/>
        <v>0</v>
      </c>
      <c r="CZ4" s="22">
        <f t="shared" si="11"/>
        <v>0</v>
      </c>
      <c r="DA4" s="22">
        <f t="shared" si="11"/>
        <v>0</v>
      </c>
      <c r="DB4" s="22">
        <f t="shared" si="11"/>
        <v>0</v>
      </c>
      <c r="DC4" s="22">
        <f t="shared" si="11"/>
        <v>0</v>
      </c>
      <c r="DD4" s="22">
        <f t="shared" si="11"/>
        <v>0</v>
      </c>
      <c r="DE4" s="22">
        <f t="shared" si="11"/>
        <v>11200509</v>
      </c>
      <c r="DF4" s="22">
        <f t="shared" si="11"/>
        <v>0</v>
      </c>
      <c r="DG4" s="22">
        <f t="shared" si="11"/>
        <v>0</v>
      </c>
      <c r="DH4" s="22">
        <f t="shared" si="11"/>
        <v>0</v>
      </c>
      <c r="DI4" s="22">
        <f t="shared" ref="DI4:DK23" si="12">Y4-CM4</f>
        <v>0</v>
      </c>
      <c r="DJ4" s="22">
        <f t="shared" si="12"/>
        <v>0</v>
      </c>
      <c r="DK4" s="22">
        <f t="shared" si="12"/>
        <v>162412</v>
      </c>
      <c r="DN4" s="26"/>
      <c r="DO4" s="26"/>
      <c r="DP4" s="26"/>
    </row>
    <row r="5" spans="1:122" ht="50.25" hidden="1" customHeight="1" x14ac:dyDescent="0.25">
      <c r="A5" s="27"/>
      <c r="B5" s="182"/>
      <c r="C5" s="18" t="s">
        <v>51</v>
      </c>
      <c r="D5" s="19" t="s">
        <v>52</v>
      </c>
      <c r="E5" s="20">
        <v>510</v>
      </c>
      <c r="F5" s="21" t="s">
        <v>53</v>
      </c>
      <c r="G5" s="22">
        <f t="shared" si="0"/>
        <v>58854378</v>
      </c>
      <c r="H5" s="22"/>
      <c r="I5" s="22">
        <v>32000000</v>
      </c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>
        <v>21000000</v>
      </c>
      <c r="V5" s="22"/>
      <c r="W5" s="22"/>
      <c r="X5" s="22"/>
      <c r="Y5" s="22"/>
      <c r="Z5" s="22"/>
      <c r="AA5" s="22">
        <f>854378+1000000+4000000</f>
        <v>5854378</v>
      </c>
      <c r="AB5" s="23">
        <f t="shared" si="1"/>
        <v>1</v>
      </c>
      <c r="AC5" s="22">
        <f>SUM(AD5:AW5)</f>
        <v>58854378</v>
      </c>
      <c r="AD5" s="22"/>
      <c r="AE5" s="22">
        <f>+'[1]ENERO 2017'!$K$526</f>
        <v>32000000</v>
      </c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>
        <f>+'[2]FEBRERO 2017'!$W$830</f>
        <v>21000000</v>
      </c>
      <c r="AR5" s="22"/>
      <c r="AS5" s="22"/>
      <c r="AT5" s="22"/>
      <c r="AU5" s="22"/>
      <c r="AV5" s="22"/>
      <c r="AW5" s="22">
        <f>+'[5]AGOSTO 2017'!$AC$2258</f>
        <v>5854378</v>
      </c>
      <c r="AX5" s="23">
        <f t="shared" si="3"/>
        <v>0</v>
      </c>
      <c r="AY5" s="22">
        <f t="shared" si="4"/>
        <v>0</v>
      </c>
      <c r="AZ5" s="22">
        <f t="shared" si="5"/>
        <v>0</v>
      </c>
      <c r="BA5" s="22">
        <f t="shared" si="5"/>
        <v>0</v>
      </c>
      <c r="BB5" s="22">
        <f t="shared" si="5"/>
        <v>0</v>
      </c>
      <c r="BC5" s="22">
        <f t="shared" si="5"/>
        <v>0</v>
      </c>
      <c r="BD5" s="22">
        <f t="shared" si="5"/>
        <v>0</v>
      </c>
      <c r="BE5" s="22">
        <f t="shared" si="5"/>
        <v>0</v>
      </c>
      <c r="BF5" s="22">
        <f t="shared" si="5"/>
        <v>0</v>
      </c>
      <c r="BG5" s="22">
        <f t="shared" si="5"/>
        <v>0</v>
      </c>
      <c r="BH5" s="22">
        <f t="shared" si="5"/>
        <v>0</v>
      </c>
      <c r="BI5" s="22">
        <f t="shared" si="5"/>
        <v>0</v>
      </c>
      <c r="BJ5" s="22">
        <f t="shared" si="5"/>
        <v>0</v>
      </c>
      <c r="BK5" s="22">
        <f t="shared" si="5"/>
        <v>0</v>
      </c>
      <c r="BL5" s="22">
        <f t="shared" si="5"/>
        <v>0</v>
      </c>
      <c r="BM5" s="22">
        <f t="shared" si="5"/>
        <v>0</v>
      </c>
      <c r="BN5" s="22">
        <f t="shared" si="5"/>
        <v>0</v>
      </c>
      <c r="BO5" s="22">
        <f t="shared" si="5"/>
        <v>0</v>
      </c>
      <c r="BP5" s="22">
        <f t="shared" si="6"/>
        <v>0</v>
      </c>
      <c r="BQ5" s="22">
        <f t="shared" si="6"/>
        <v>0</v>
      </c>
      <c r="BR5" s="22">
        <f t="shared" si="6"/>
        <v>0</v>
      </c>
      <c r="BS5" s="22">
        <f t="shared" si="6"/>
        <v>0</v>
      </c>
      <c r="BT5" s="23">
        <f t="shared" si="7"/>
        <v>0.85301779928759081</v>
      </c>
      <c r="BU5" s="22">
        <f t="shared" si="8"/>
        <v>50203832</v>
      </c>
      <c r="BV5" s="22"/>
      <c r="BW5" s="22">
        <f>+'[5]AGOSTO 2017'!$H$2259</f>
        <v>27815454</v>
      </c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>
        <f>+'[5]AGOSTO 2017'!$H$2266</f>
        <v>20534000</v>
      </c>
      <c r="CJ5" s="22"/>
      <c r="CK5" s="22"/>
      <c r="CL5" s="22"/>
      <c r="CM5" s="22"/>
      <c r="CN5" s="22"/>
      <c r="CO5" s="22">
        <f>+'[5]AGOSTO 2017'!$H$2264+'[5]AGOSTO 2017'!$H$2272</f>
        <v>1854378</v>
      </c>
      <c r="CP5" s="23">
        <f t="shared" si="9"/>
        <v>0.14698220071240919</v>
      </c>
      <c r="CQ5" s="22">
        <f t="shared" si="10"/>
        <v>8650546</v>
      </c>
      <c r="CR5" s="22">
        <f t="shared" ref="CR5:DG23" si="13">H5-BV5</f>
        <v>0</v>
      </c>
      <c r="CS5" s="22">
        <f t="shared" si="11"/>
        <v>4184546</v>
      </c>
      <c r="CT5" s="22">
        <f t="shared" si="11"/>
        <v>0</v>
      </c>
      <c r="CU5" s="22">
        <f t="shared" si="11"/>
        <v>0</v>
      </c>
      <c r="CV5" s="22">
        <f t="shared" si="11"/>
        <v>0</v>
      </c>
      <c r="CW5" s="22">
        <f t="shared" si="11"/>
        <v>0</v>
      </c>
      <c r="CX5" s="22">
        <f t="shared" si="11"/>
        <v>0</v>
      </c>
      <c r="CY5" s="22">
        <f t="shared" si="11"/>
        <v>0</v>
      </c>
      <c r="CZ5" s="22">
        <f t="shared" si="11"/>
        <v>0</v>
      </c>
      <c r="DA5" s="22">
        <f t="shared" si="11"/>
        <v>0</v>
      </c>
      <c r="DB5" s="22">
        <f t="shared" si="11"/>
        <v>0</v>
      </c>
      <c r="DC5" s="22">
        <f t="shared" si="11"/>
        <v>0</v>
      </c>
      <c r="DD5" s="22">
        <f t="shared" si="11"/>
        <v>0</v>
      </c>
      <c r="DE5" s="22">
        <f t="shared" si="11"/>
        <v>466000</v>
      </c>
      <c r="DF5" s="22">
        <f t="shared" si="11"/>
        <v>0</v>
      </c>
      <c r="DG5" s="22">
        <f t="shared" si="11"/>
        <v>0</v>
      </c>
      <c r="DH5" s="22">
        <f t="shared" si="11"/>
        <v>0</v>
      </c>
      <c r="DI5" s="22">
        <f t="shared" si="12"/>
        <v>0</v>
      </c>
      <c r="DJ5" s="22">
        <f t="shared" si="12"/>
        <v>0</v>
      </c>
      <c r="DK5" s="22">
        <f t="shared" si="12"/>
        <v>4000000</v>
      </c>
      <c r="DN5" s="26"/>
      <c r="DO5" s="26"/>
      <c r="DP5" s="26"/>
    </row>
    <row r="6" spans="1:122" ht="36.75" hidden="1" customHeight="1" x14ac:dyDescent="0.25">
      <c r="A6" s="27"/>
      <c r="B6" s="183"/>
      <c r="C6" s="18" t="s">
        <v>54</v>
      </c>
      <c r="D6" s="19" t="s">
        <v>55</v>
      </c>
      <c r="E6" s="28">
        <v>510</v>
      </c>
      <c r="F6" s="21" t="s">
        <v>56</v>
      </c>
      <c r="G6" s="22">
        <f t="shared" si="0"/>
        <v>31594219</v>
      </c>
      <c r="H6" s="22"/>
      <c r="I6" s="22">
        <v>12000000</v>
      </c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>
        <v>17594219</v>
      </c>
      <c r="V6" s="22"/>
      <c r="W6" s="22"/>
      <c r="X6" s="22"/>
      <c r="Y6" s="22"/>
      <c r="Z6" s="22"/>
      <c r="AA6" s="22">
        <f>2000000</f>
        <v>2000000</v>
      </c>
      <c r="AB6" s="23">
        <f t="shared" si="1"/>
        <v>1</v>
      </c>
      <c r="AC6" s="22">
        <f>SUM(AD6:AW6)</f>
        <v>31594219</v>
      </c>
      <c r="AD6" s="22"/>
      <c r="AE6" s="22">
        <f>+'[5]AGOSTO 2017'!$K$2278</f>
        <v>12000000</v>
      </c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>
        <f>+'[2]FEBRERO 2017'!$W$839</f>
        <v>17594219</v>
      </c>
      <c r="AR6" s="22"/>
      <c r="AS6" s="22"/>
      <c r="AT6" s="22"/>
      <c r="AU6" s="22"/>
      <c r="AV6" s="22"/>
      <c r="AW6" s="22">
        <f>+'[5]AGOSTO 2017'!$AC$2278</f>
        <v>2000000</v>
      </c>
      <c r="AX6" s="23">
        <f t="shared" si="3"/>
        <v>0</v>
      </c>
      <c r="AY6" s="22">
        <f t="shared" si="4"/>
        <v>0</v>
      </c>
      <c r="AZ6" s="22">
        <f t="shared" si="5"/>
        <v>0</v>
      </c>
      <c r="BA6" s="22">
        <f t="shared" si="5"/>
        <v>0</v>
      </c>
      <c r="BB6" s="22">
        <f t="shared" si="5"/>
        <v>0</v>
      </c>
      <c r="BC6" s="22">
        <f t="shared" si="5"/>
        <v>0</v>
      </c>
      <c r="BD6" s="22">
        <f t="shared" si="5"/>
        <v>0</v>
      </c>
      <c r="BE6" s="22">
        <f t="shared" si="5"/>
        <v>0</v>
      </c>
      <c r="BF6" s="22">
        <f t="shared" si="5"/>
        <v>0</v>
      </c>
      <c r="BG6" s="22">
        <f t="shared" si="5"/>
        <v>0</v>
      </c>
      <c r="BH6" s="22">
        <f t="shared" si="5"/>
        <v>0</v>
      </c>
      <c r="BI6" s="22">
        <f t="shared" si="5"/>
        <v>0</v>
      </c>
      <c r="BJ6" s="22">
        <f t="shared" si="5"/>
        <v>0</v>
      </c>
      <c r="BK6" s="22">
        <f t="shared" si="5"/>
        <v>0</v>
      </c>
      <c r="BL6" s="22">
        <f t="shared" si="5"/>
        <v>0</v>
      </c>
      <c r="BM6" s="22">
        <f t="shared" si="5"/>
        <v>0</v>
      </c>
      <c r="BN6" s="22">
        <f t="shared" si="5"/>
        <v>0</v>
      </c>
      <c r="BO6" s="22">
        <f t="shared" si="5"/>
        <v>0</v>
      </c>
      <c r="BP6" s="22">
        <f t="shared" si="6"/>
        <v>0</v>
      </c>
      <c r="BQ6" s="22">
        <f t="shared" si="6"/>
        <v>0</v>
      </c>
      <c r="BR6" s="22">
        <f t="shared" si="6"/>
        <v>0</v>
      </c>
      <c r="BS6" s="22">
        <f t="shared" si="6"/>
        <v>0</v>
      </c>
      <c r="BT6" s="23">
        <f t="shared" si="7"/>
        <v>0.70899046436311652</v>
      </c>
      <c r="BU6" s="22">
        <f t="shared" si="8"/>
        <v>22400000</v>
      </c>
      <c r="BV6" s="22"/>
      <c r="BW6" s="22">
        <f>+'[5]AGOSTO 2017'!$H$2281</f>
        <v>4805781</v>
      </c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>
        <f>+'[5]AGOSTO 2017'!$H$2279</f>
        <v>17594219</v>
      </c>
      <c r="CJ6" s="22"/>
      <c r="CK6" s="22"/>
      <c r="CL6" s="22"/>
      <c r="CM6" s="22"/>
      <c r="CN6" s="22"/>
      <c r="CO6" s="22"/>
      <c r="CP6" s="23">
        <f t="shared" si="9"/>
        <v>0.29100953563688348</v>
      </c>
      <c r="CQ6" s="22">
        <f t="shared" si="10"/>
        <v>9194219</v>
      </c>
      <c r="CR6" s="22">
        <f t="shared" si="13"/>
        <v>0</v>
      </c>
      <c r="CS6" s="22">
        <f t="shared" si="11"/>
        <v>7194219</v>
      </c>
      <c r="CT6" s="22">
        <f t="shared" si="11"/>
        <v>0</v>
      </c>
      <c r="CU6" s="22">
        <f t="shared" si="11"/>
        <v>0</v>
      </c>
      <c r="CV6" s="22">
        <f t="shared" si="11"/>
        <v>0</v>
      </c>
      <c r="CW6" s="22">
        <f t="shared" si="11"/>
        <v>0</v>
      </c>
      <c r="CX6" s="22">
        <f t="shared" si="11"/>
        <v>0</v>
      </c>
      <c r="CY6" s="22">
        <f t="shared" si="11"/>
        <v>0</v>
      </c>
      <c r="CZ6" s="22">
        <f t="shared" si="11"/>
        <v>0</v>
      </c>
      <c r="DA6" s="22">
        <f t="shared" si="11"/>
        <v>0</v>
      </c>
      <c r="DB6" s="22">
        <f t="shared" si="11"/>
        <v>0</v>
      </c>
      <c r="DC6" s="22">
        <f t="shared" si="11"/>
        <v>0</v>
      </c>
      <c r="DD6" s="22">
        <f t="shared" si="11"/>
        <v>0</v>
      </c>
      <c r="DE6" s="22">
        <f t="shared" si="11"/>
        <v>0</v>
      </c>
      <c r="DF6" s="22">
        <f t="shared" si="11"/>
        <v>0</v>
      </c>
      <c r="DG6" s="22">
        <f t="shared" si="11"/>
        <v>0</v>
      </c>
      <c r="DH6" s="22">
        <f t="shared" si="11"/>
        <v>0</v>
      </c>
      <c r="DI6" s="22">
        <f t="shared" si="12"/>
        <v>0</v>
      </c>
      <c r="DJ6" s="22">
        <f t="shared" si="12"/>
        <v>0</v>
      </c>
      <c r="DK6" s="22">
        <f t="shared" si="12"/>
        <v>2000000</v>
      </c>
      <c r="DN6" s="26"/>
      <c r="DO6" s="26"/>
      <c r="DP6" s="26"/>
    </row>
    <row r="7" spans="1:122" ht="51.75" hidden="1" customHeight="1" x14ac:dyDescent="0.25">
      <c r="A7" s="27"/>
      <c r="B7" s="36" t="s">
        <v>57</v>
      </c>
      <c r="C7" s="18" t="s">
        <v>58</v>
      </c>
      <c r="D7" s="19" t="s">
        <v>59</v>
      </c>
      <c r="E7" s="20">
        <v>510</v>
      </c>
      <c r="F7" s="21" t="s">
        <v>60</v>
      </c>
      <c r="G7" s="22">
        <f t="shared" si="0"/>
        <v>39000000</v>
      </c>
      <c r="H7" s="22"/>
      <c r="I7" s="22"/>
      <c r="J7" s="22">
        <v>16000000</v>
      </c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>
        <f>20000000+3000000</f>
        <v>23000000</v>
      </c>
      <c r="AB7" s="23">
        <f t="shared" si="1"/>
        <v>0.35231797435897438</v>
      </c>
      <c r="AC7" s="22">
        <f>SUM(AD7:AW7)</f>
        <v>13740401</v>
      </c>
      <c r="AD7" s="22"/>
      <c r="AE7" s="22"/>
      <c r="AF7" s="22">
        <f>+'[5]AGOSTO 2017'!$L$2288</f>
        <v>8740401</v>
      </c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>
        <f>+'[6]JULIO 2017'!$AC$1970</f>
        <v>5000000</v>
      </c>
      <c r="AX7" s="23">
        <f t="shared" si="3"/>
        <v>0.64768202564102562</v>
      </c>
      <c r="AY7" s="22">
        <f t="shared" si="4"/>
        <v>25259599</v>
      </c>
      <c r="AZ7" s="22">
        <f t="shared" si="5"/>
        <v>0</v>
      </c>
      <c r="BA7" s="22">
        <f t="shared" si="5"/>
        <v>0</v>
      </c>
      <c r="BB7" s="22">
        <f t="shared" si="5"/>
        <v>7259599</v>
      </c>
      <c r="BC7" s="22">
        <f t="shared" si="5"/>
        <v>0</v>
      </c>
      <c r="BD7" s="22">
        <f t="shared" si="5"/>
        <v>0</v>
      </c>
      <c r="BE7" s="22">
        <f t="shared" si="5"/>
        <v>0</v>
      </c>
      <c r="BF7" s="22">
        <f t="shared" si="5"/>
        <v>0</v>
      </c>
      <c r="BG7" s="22">
        <f t="shared" si="5"/>
        <v>0</v>
      </c>
      <c r="BH7" s="22">
        <f t="shared" si="5"/>
        <v>0</v>
      </c>
      <c r="BI7" s="22">
        <f t="shared" si="5"/>
        <v>0</v>
      </c>
      <c r="BJ7" s="22">
        <f t="shared" si="5"/>
        <v>0</v>
      </c>
      <c r="BK7" s="22">
        <f t="shared" si="5"/>
        <v>0</v>
      </c>
      <c r="BL7" s="22">
        <f t="shared" si="5"/>
        <v>0</v>
      </c>
      <c r="BM7" s="22">
        <f t="shared" si="5"/>
        <v>0</v>
      </c>
      <c r="BN7" s="22">
        <f t="shared" si="5"/>
        <v>0</v>
      </c>
      <c r="BO7" s="22">
        <f t="shared" si="5"/>
        <v>0</v>
      </c>
      <c r="BP7" s="22">
        <f t="shared" si="6"/>
        <v>0</v>
      </c>
      <c r="BQ7" s="22">
        <f t="shared" si="6"/>
        <v>0</v>
      </c>
      <c r="BR7" s="22">
        <f t="shared" si="6"/>
        <v>0</v>
      </c>
      <c r="BS7" s="22">
        <f t="shared" si="6"/>
        <v>18000000</v>
      </c>
      <c r="BT7" s="23">
        <f t="shared" si="7"/>
        <v>0.35231797435897438</v>
      </c>
      <c r="BU7" s="22">
        <f t="shared" si="8"/>
        <v>13740401</v>
      </c>
      <c r="BV7" s="22"/>
      <c r="BW7" s="22"/>
      <c r="BX7" s="22">
        <f>+'[5]AGOSTO 2017'!$H$2286-CO7</f>
        <v>8740401</v>
      </c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>
        <f>+'[5]AGOSTO 2017'!$H$2310</f>
        <v>5000000</v>
      </c>
      <c r="CP7" s="23">
        <f t="shared" si="9"/>
        <v>0.64768202564102562</v>
      </c>
      <c r="CQ7" s="22">
        <f t="shared" si="10"/>
        <v>25259599</v>
      </c>
      <c r="CR7" s="22">
        <f t="shared" si="13"/>
        <v>0</v>
      </c>
      <c r="CS7" s="22">
        <f t="shared" si="11"/>
        <v>0</v>
      </c>
      <c r="CT7" s="22">
        <f t="shared" si="11"/>
        <v>7259599</v>
      </c>
      <c r="CU7" s="22">
        <f t="shared" si="11"/>
        <v>0</v>
      </c>
      <c r="CV7" s="22">
        <f t="shared" si="11"/>
        <v>0</v>
      </c>
      <c r="CW7" s="22">
        <f t="shared" si="11"/>
        <v>0</v>
      </c>
      <c r="CX7" s="22">
        <f t="shared" si="11"/>
        <v>0</v>
      </c>
      <c r="CY7" s="22">
        <f t="shared" si="11"/>
        <v>0</v>
      </c>
      <c r="CZ7" s="22">
        <f t="shared" si="11"/>
        <v>0</v>
      </c>
      <c r="DA7" s="22">
        <f t="shared" si="11"/>
        <v>0</v>
      </c>
      <c r="DB7" s="22">
        <f t="shared" si="11"/>
        <v>0</v>
      </c>
      <c r="DC7" s="22">
        <f t="shared" si="11"/>
        <v>0</v>
      </c>
      <c r="DD7" s="22">
        <f t="shared" si="11"/>
        <v>0</v>
      </c>
      <c r="DE7" s="22">
        <f t="shared" si="11"/>
        <v>0</v>
      </c>
      <c r="DF7" s="22">
        <f t="shared" si="11"/>
        <v>0</v>
      </c>
      <c r="DG7" s="22">
        <f t="shared" si="11"/>
        <v>0</v>
      </c>
      <c r="DH7" s="22">
        <f t="shared" si="11"/>
        <v>0</v>
      </c>
      <c r="DI7" s="22">
        <f t="shared" si="12"/>
        <v>0</v>
      </c>
      <c r="DJ7" s="22">
        <f t="shared" si="12"/>
        <v>0</v>
      </c>
      <c r="DK7" s="22">
        <f t="shared" si="12"/>
        <v>18000000</v>
      </c>
      <c r="DN7" s="26"/>
      <c r="DO7" s="26"/>
      <c r="DP7" s="26"/>
    </row>
    <row r="8" spans="1:122" ht="63.75" hidden="1" customHeight="1" x14ac:dyDescent="0.25">
      <c r="A8" s="27"/>
      <c r="B8" s="181" t="s">
        <v>61</v>
      </c>
      <c r="C8" s="30" t="s">
        <v>62</v>
      </c>
      <c r="D8" s="31" t="s">
        <v>63</v>
      </c>
      <c r="E8" s="20">
        <v>310</v>
      </c>
      <c r="F8" s="21" t="s">
        <v>56</v>
      </c>
      <c r="G8" s="22">
        <f t="shared" si="0"/>
        <v>178290131</v>
      </c>
      <c r="H8" s="22"/>
      <c r="I8" s="22">
        <f>120000000+58290131</f>
        <v>178290131</v>
      </c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3">
        <f t="shared" si="1"/>
        <v>1</v>
      </c>
      <c r="AC8" s="22">
        <f>SUM(AD8:AW8)</f>
        <v>178290131</v>
      </c>
      <c r="AD8" s="22"/>
      <c r="AE8" s="22">
        <f>+'[2]FEBRERO 2017'!$K$120</f>
        <v>178290131</v>
      </c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3">
        <f t="shared" si="3"/>
        <v>0</v>
      </c>
      <c r="AY8" s="22">
        <f t="shared" si="4"/>
        <v>0</v>
      </c>
      <c r="AZ8" s="22">
        <f t="shared" si="5"/>
        <v>0</v>
      </c>
      <c r="BA8" s="22">
        <f t="shared" si="5"/>
        <v>0</v>
      </c>
      <c r="BB8" s="22">
        <f t="shared" si="5"/>
        <v>0</v>
      </c>
      <c r="BC8" s="22">
        <f t="shared" si="5"/>
        <v>0</v>
      </c>
      <c r="BD8" s="22">
        <f t="shared" si="5"/>
        <v>0</v>
      </c>
      <c r="BE8" s="22">
        <f t="shared" si="5"/>
        <v>0</v>
      </c>
      <c r="BF8" s="22">
        <f t="shared" si="5"/>
        <v>0</v>
      </c>
      <c r="BG8" s="22">
        <f t="shared" si="5"/>
        <v>0</v>
      </c>
      <c r="BH8" s="22">
        <f t="shared" si="5"/>
        <v>0</v>
      </c>
      <c r="BI8" s="22">
        <f t="shared" si="5"/>
        <v>0</v>
      </c>
      <c r="BJ8" s="22">
        <f t="shared" si="5"/>
        <v>0</v>
      </c>
      <c r="BK8" s="22">
        <f t="shared" si="5"/>
        <v>0</v>
      </c>
      <c r="BL8" s="22">
        <f t="shared" si="5"/>
        <v>0</v>
      </c>
      <c r="BM8" s="22">
        <f t="shared" si="5"/>
        <v>0</v>
      </c>
      <c r="BN8" s="22">
        <f t="shared" si="5"/>
        <v>0</v>
      </c>
      <c r="BO8" s="22">
        <f t="shared" si="5"/>
        <v>0</v>
      </c>
      <c r="BP8" s="22">
        <f t="shared" si="6"/>
        <v>0</v>
      </c>
      <c r="BQ8" s="22">
        <f t="shared" si="6"/>
        <v>0</v>
      </c>
      <c r="BR8" s="22">
        <f t="shared" si="6"/>
        <v>0</v>
      </c>
      <c r="BS8" s="22">
        <f t="shared" si="6"/>
        <v>0</v>
      </c>
      <c r="BT8" s="23">
        <f t="shared" si="7"/>
        <v>0.61583304350143753</v>
      </c>
      <c r="BU8" s="22">
        <f>SUM(BV8:CO8)</f>
        <v>109796954</v>
      </c>
      <c r="BV8" s="22"/>
      <c r="BW8" s="22">
        <f>+'[5]AGOSTO 2017'!$H$320</f>
        <v>109796954</v>
      </c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3">
        <f t="shared" si="9"/>
        <v>0.38416695649856247</v>
      </c>
      <c r="CQ8" s="22">
        <f t="shared" si="10"/>
        <v>68493177</v>
      </c>
      <c r="CR8" s="22">
        <f t="shared" si="13"/>
        <v>0</v>
      </c>
      <c r="CS8" s="22">
        <f t="shared" si="11"/>
        <v>68493177</v>
      </c>
      <c r="CT8" s="22">
        <f t="shared" si="11"/>
        <v>0</v>
      </c>
      <c r="CU8" s="22">
        <f t="shared" si="11"/>
        <v>0</v>
      </c>
      <c r="CV8" s="22">
        <f t="shared" si="11"/>
        <v>0</v>
      </c>
      <c r="CW8" s="22">
        <f t="shared" si="11"/>
        <v>0</v>
      </c>
      <c r="CX8" s="22">
        <f t="shared" si="11"/>
        <v>0</v>
      </c>
      <c r="CY8" s="22">
        <f t="shared" si="11"/>
        <v>0</v>
      </c>
      <c r="CZ8" s="22">
        <f t="shared" si="11"/>
        <v>0</v>
      </c>
      <c r="DA8" s="22">
        <f t="shared" si="11"/>
        <v>0</v>
      </c>
      <c r="DB8" s="22">
        <f t="shared" si="11"/>
        <v>0</v>
      </c>
      <c r="DC8" s="22">
        <f t="shared" si="11"/>
        <v>0</v>
      </c>
      <c r="DD8" s="22">
        <f t="shared" si="11"/>
        <v>0</v>
      </c>
      <c r="DE8" s="22">
        <f t="shared" si="11"/>
        <v>0</v>
      </c>
      <c r="DF8" s="22">
        <f t="shared" si="11"/>
        <v>0</v>
      </c>
      <c r="DG8" s="22">
        <f t="shared" si="11"/>
        <v>0</v>
      </c>
      <c r="DH8" s="22">
        <f t="shared" si="11"/>
        <v>0</v>
      </c>
      <c r="DI8" s="22">
        <f t="shared" si="12"/>
        <v>0</v>
      </c>
      <c r="DJ8" s="22">
        <f t="shared" si="12"/>
        <v>0</v>
      </c>
      <c r="DK8" s="22">
        <f t="shared" si="12"/>
        <v>0</v>
      </c>
      <c r="DN8" s="26"/>
      <c r="DO8" s="26"/>
      <c r="DP8" s="26"/>
    </row>
    <row r="9" spans="1:122" ht="68.25" hidden="1" customHeight="1" x14ac:dyDescent="0.25">
      <c r="A9" s="27"/>
      <c r="B9" s="182"/>
      <c r="C9" s="18" t="s">
        <v>64</v>
      </c>
      <c r="D9" s="19" t="s">
        <v>65</v>
      </c>
      <c r="E9" s="20">
        <v>310</v>
      </c>
      <c r="F9" s="32" t="s">
        <v>66</v>
      </c>
      <c r="G9" s="22">
        <f t="shared" si="0"/>
        <v>340000000</v>
      </c>
      <c r="H9" s="22"/>
      <c r="I9" s="22">
        <f>280000000-158290131-40000000</f>
        <v>81709869</v>
      </c>
      <c r="J9" s="22"/>
      <c r="K9" s="22">
        <v>186290131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>
        <f>51000000+5000000+19000000-3000000</f>
        <v>72000000</v>
      </c>
      <c r="AB9" s="23">
        <f t="shared" si="1"/>
        <v>0.57996086470588237</v>
      </c>
      <c r="AC9" s="22">
        <f t="shared" si="2"/>
        <v>197186694</v>
      </c>
      <c r="AD9" s="22"/>
      <c r="AE9" s="22">
        <f>+'[7]FEBRERO 2017'!$K$125</f>
        <v>5834000</v>
      </c>
      <c r="AF9" s="22"/>
      <c r="AG9" s="22">
        <f>+'[5]AGOSTO 2017'!$L$346</f>
        <v>143552694</v>
      </c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>
        <f>+'[5]AGOSTO 2017'!$AC$346</f>
        <v>47800000</v>
      </c>
      <c r="AX9" s="23">
        <f t="shared" si="3"/>
        <v>0.42003913529411763</v>
      </c>
      <c r="AY9" s="22">
        <f t="shared" si="4"/>
        <v>142813306</v>
      </c>
      <c r="AZ9" s="22">
        <f t="shared" si="5"/>
        <v>0</v>
      </c>
      <c r="BA9" s="22">
        <f t="shared" si="5"/>
        <v>75875869</v>
      </c>
      <c r="BB9" s="22">
        <f t="shared" si="5"/>
        <v>0</v>
      </c>
      <c r="BC9" s="22">
        <f t="shared" si="5"/>
        <v>42737437</v>
      </c>
      <c r="BD9" s="22">
        <f t="shared" si="5"/>
        <v>0</v>
      </c>
      <c r="BE9" s="22">
        <f t="shared" si="5"/>
        <v>0</v>
      </c>
      <c r="BF9" s="22">
        <f t="shared" si="5"/>
        <v>0</v>
      </c>
      <c r="BG9" s="22">
        <f t="shared" si="5"/>
        <v>0</v>
      </c>
      <c r="BH9" s="22">
        <f t="shared" si="5"/>
        <v>0</v>
      </c>
      <c r="BI9" s="22">
        <f t="shared" si="5"/>
        <v>0</v>
      </c>
      <c r="BJ9" s="22">
        <f t="shared" si="5"/>
        <v>0</v>
      </c>
      <c r="BK9" s="22">
        <f t="shared" si="5"/>
        <v>0</v>
      </c>
      <c r="BL9" s="22">
        <f t="shared" si="5"/>
        <v>0</v>
      </c>
      <c r="BM9" s="22">
        <f t="shared" si="5"/>
        <v>0</v>
      </c>
      <c r="BN9" s="22">
        <f t="shared" si="5"/>
        <v>0</v>
      </c>
      <c r="BO9" s="22">
        <f t="shared" si="5"/>
        <v>0</v>
      </c>
      <c r="BP9" s="22">
        <f t="shared" si="6"/>
        <v>0</v>
      </c>
      <c r="BQ9" s="22">
        <f t="shared" si="6"/>
        <v>0</v>
      </c>
      <c r="BR9" s="22">
        <f t="shared" si="6"/>
        <v>0</v>
      </c>
      <c r="BS9" s="22">
        <f t="shared" si="6"/>
        <v>24200000</v>
      </c>
      <c r="BT9" s="23">
        <f t="shared" si="7"/>
        <v>0.50807966764705881</v>
      </c>
      <c r="BU9" s="22">
        <f>SUM(BV9:CO9)</f>
        <v>172747087</v>
      </c>
      <c r="BV9" s="22"/>
      <c r="BW9" s="22">
        <f>+'[7]FEBRERO 2017'!$K$125</f>
        <v>5834000</v>
      </c>
      <c r="BX9" s="22"/>
      <c r="BY9" s="22">
        <f>+'[5]AGOSTO 2017'!$L$346</f>
        <v>143552694</v>
      </c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>
        <f>+'[5]AGOSTO 2017'!$H$344-BY9-BW9</f>
        <v>23360393</v>
      </c>
      <c r="CP9" s="23">
        <f t="shared" si="9"/>
        <v>0.49192033235294119</v>
      </c>
      <c r="CQ9" s="22">
        <f t="shared" si="10"/>
        <v>167252913</v>
      </c>
      <c r="CR9" s="22">
        <f t="shared" si="13"/>
        <v>0</v>
      </c>
      <c r="CS9" s="22">
        <f t="shared" si="11"/>
        <v>75875869</v>
      </c>
      <c r="CT9" s="22">
        <f t="shared" si="11"/>
        <v>0</v>
      </c>
      <c r="CU9" s="22">
        <f t="shared" si="11"/>
        <v>42737437</v>
      </c>
      <c r="CV9" s="22">
        <f t="shared" si="11"/>
        <v>0</v>
      </c>
      <c r="CW9" s="22">
        <f t="shared" si="11"/>
        <v>0</v>
      </c>
      <c r="CX9" s="22">
        <f t="shared" si="11"/>
        <v>0</v>
      </c>
      <c r="CY9" s="22">
        <f t="shared" si="11"/>
        <v>0</v>
      </c>
      <c r="CZ9" s="22">
        <f t="shared" si="11"/>
        <v>0</v>
      </c>
      <c r="DA9" s="22">
        <f t="shared" si="11"/>
        <v>0</v>
      </c>
      <c r="DB9" s="22">
        <f t="shared" si="11"/>
        <v>0</v>
      </c>
      <c r="DC9" s="22">
        <f t="shared" si="11"/>
        <v>0</v>
      </c>
      <c r="DD9" s="22">
        <f t="shared" si="11"/>
        <v>0</v>
      </c>
      <c r="DE9" s="22">
        <f t="shared" si="11"/>
        <v>0</v>
      </c>
      <c r="DF9" s="22">
        <f t="shared" si="11"/>
        <v>0</v>
      </c>
      <c r="DG9" s="22">
        <f t="shared" si="11"/>
        <v>0</v>
      </c>
      <c r="DH9" s="22">
        <f t="shared" si="11"/>
        <v>0</v>
      </c>
      <c r="DI9" s="22">
        <f t="shared" si="12"/>
        <v>0</v>
      </c>
      <c r="DJ9" s="22">
        <f t="shared" si="12"/>
        <v>0</v>
      </c>
      <c r="DK9" s="22">
        <f t="shared" si="12"/>
        <v>48639607</v>
      </c>
      <c r="DN9" s="26"/>
      <c r="DO9" s="26"/>
      <c r="DP9" s="26"/>
    </row>
    <row r="10" spans="1:122" ht="24" hidden="1" customHeight="1" x14ac:dyDescent="0.25">
      <c r="A10" s="27"/>
      <c r="B10" s="182"/>
      <c r="C10" s="18" t="s">
        <v>67</v>
      </c>
      <c r="D10" s="19" t="s">
        <v>68</v>
      </c>
      <c r="E10" s="20">
        <v>310</v>
      </c>
      <c r="F10" s="21" t="s">
        <v>56</v>
      </c>
      <c r="G10" s="22">
        <f t="shared" si="0"/>
        <v>30000000</v>
      </c>
      <c r="H10" s="22"/>
      <c r="I10" s="22">
        <v>30000000</v>
      </c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3">
        <f t="shared" si="1"/>
        <v>1</v>
      </c>
      <c r="AC10" s="22">
        <f t="shared" si="2"/>
        <v>30000000</v>
      </c>
      <c r="AD10" s="22"/>
      <c r="AE10" s="22">
        <f>+'[7]FEBRERO 2017'!$K$140</f>
        <v>30000000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3">
        <f t="shared" si="3"/>
        <v>0</v>
      </c>
      <c r="AY10" s="22">
        <f t="shared" si="4"/>
        <v>0</v>
      </c>
      <c r="AZ10" s="22">
        <f t="shared" si="5"/>
        <v>0</v>
      </c>
      <c r="BA10" s="22">
        <f t="shared" si="5"/>
        <v>0</v>
      </c>
      <c r="BB10" s="22">
        <f t="shared" si="5"/>
        <v>0</v>
      </c>
      <c r="BC10" s="22">
        <f t="shared" si="5"/>
        <v>0</v>
      </c>
      <c r="BD10" s="22">
        <f t="shared" si="5"/>
        <v>0</v>
      </c>
      <c r="BE10" s="22">
        <f t="shared" si="5"/>
        <v>0</v>
      </c>
      <c r="BF10" s="22">
        <f t="shared" si="5"/>
        <v>0</v>
      </c>
      <c r="BG10" s="22">
        <f t="shared" si="5"/>
        <v>0</v>
      </c>
      <c r="BH10" s="22">
        <f t="shared" si="5"/>
        <v>0</v>
      </c>
      <c r="BI10" s="22">
        <f t="shared" si="5"/>
        <v>0</v>
      </c>
      <c r="BJ10" s="22">
        <f t="shared" si="5"/>
        <v>0</v>
      </c>
      <c r="BK10" s="22">
        <f t="shared" si="5"/>
        <v>0</v>
      </c>
      <c r="BL10" s="22">
        <f t="shared" si="5"/>
        <v>0</v>
      </c>
      <c r="BM10" s="22">
        <f t="shared" si="5"/>
        <v>0</v>
      </c>
      <c r="BN10" s="22">
        <f t="shared" si="5"/>
        <v>0</v>
      </c>
      <c r="BO10" s="22">
        <f t="shared" si="5"/>
        <v>0</v>
      </c>
      <c r="BP10" s="22">
        <f t="shared" si="6"/>
        <v>0</v>
      </c>
      <c r="BQ10" s="22">
        <f t="shared" si="6"/>
        <v>0</v>
      </c>
      <c r="BR10" s="22">
        <f t="shared" si="6"/>
        <v>0</v>
      </c>
      <c r="BS10" s="22">
        <f t="shared" si="6"/>
        <v>0</v>
      </c>
      <c r="BT10" s="23">
        <f t="shared" si="7"/>
        <v>0.4425</v>
      </c>
      <c r="BU10" s="22">
        <f t="shared" si="8"/>
        <v>13275000</v>
      </c>
      <c r="BV10" s="22"/>
      <c r="BW10" s="22">
        <f>+'[6]JULIO 2017'!$H$413</f>
        <v>13275000</v>
      </c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3">
        <f t="shared" si="9"/>
        <v>0.5575</v>
      </c>
      <c r="CQ10" s="22">
        <f t="shared" si="10"/>
        <v>16725000</v>
      </c>
      <c r="CR10" s="22">
        <f t="shared" si="13"/>
        <v>0</v>
      </c>
      <c r="CS10" s="22">
        <f t="shared" si="11"/>
        <v>16725000</v>
      </c>
      <c r="CT10" s="22">
        <f t="shared" si="11"/>
        <v>0</v>
      </c>
      <c r="CU10" s="22">
        <f t="shared" si="11"/>
        <v>0</v>
      </c>
      <c r="CV10" s="22">
        <f t="shared" si="11"/>
        <v>0</v>
      </c>
      <c r="CW10" s="22">
        <f t="shared" si="11"/>
        <v>0</v>
      </c>
      <c r="CX10" s="22">
        <f t="shared" si="11"/>
        <v>0</v>
      </c>
      <c r="CY10" s="22">
        <f t="shared" si="11"/>
        <v>0</v>
      </c>
      <c r="CZ10" s="22">
        <f t="shared" si="11"/>
        <v>0</v>
      </c>
      <c r="DA10" s="22">
        <f t="shared" si="11"/>
        <v>0</v>
      </c>
      <c r="DB10" s="22">
        <f t="shared" si="11"/>
        <v>0</v>
      </c>
      <c r="DC10" s="22">
        <f t="shared" si="11"/>
        <v>0</v>
      </c>
      <c r="DD10" s="22">
        <f t="shared" si="11"/>
        <v>0</v>
      </c>
      <c r="DE10" s="22">
        <f t="shared" si="11"/>
        <v>0</v>
      </c>
      <c r="DF10" s="22">
        <f t="shared" si="11"/>
        <v>0</v>
      </c>
      <c r="DG10" s="22">
        <f t="shared" si="11"/>
        <v>0</v>
      </c>
      <c r="DH10" s="22">
        <f t="shared" si="11"/>
        <v>0</v>
      </c>
      <c r="DI10" s="22">
        <f t="shared" si="12"/>
        <v>0</v>
      </c>
      <c r="DJ10" s="22">
        <f t="shared" si="12"/>
        <v>0</v>
      </c>
      <c r="DK10" s="22">
        <f t="shared" si="12"/>
        <v>0</v>
      </c>
      <c r="DN10" s="26"/>
      <c r="DO10" s="26"/>
      <c r="DP10" s="26"/>
    </row>
    <row r="11" spans="1:122" ht="46.5" hidden="1" customHeight="1" x14ac:dyDescent="0.25">
      <c r="A11" s="27"/>
      <c r="B11" s="182"/>
      <c r="C11" s="18" t="s">
        <v>69</v>
      </c>
      <c r="D11" s="19" t="s">
        <v>70</v>
      </c>
      <c r="E11" s="20">
        <v>310</v>
      </c>
      <c r="F11" s="21" t="s">
        <v>56</v>
      </c>
      <c r="G11" s="22">
        <f t="shared" si="0"/>
        <v>23240492</v>
      </c>
      <c r="H11" s="33"/>
      <c r="I11" s="22"/>
      <c r="J11" s="33"/>
      <c r="K11" s="22">
        <v>23240492</v>
      </c>
      <c r="L11" s="33"/>
      <c r="M11" s="22"/>
      <c r="N11" s="22"/>
      <c r="O11" s="33"/>
      <c r="P11" s="25"/>
      <c r="Q11" s="25"/>
      <c r="R11" s="25"/>
      <c r="S11" s="25"/>
      <c r="T11" s="25"/>
      <c r="U11" s="22"/>
      <c r="V11" s="33"/>
      <c r="W11" s="33"/>
      <c r="X11" s="33"/>
      <c r="Y11" s="33"/>
      <c r="Z11" s="33"/>
      <c r="AA11" s="33"/>
      <c r="AB11" s="23">
        <f t="shared" si="1"/>
        <v>1</v>
      </c>
      <c r="AC11" s="22">
        <f t="shared" si="2"/>
        <v>23240492</v>
      </c>
      <c r="AD11" s="22"/>
      <c r="AE11" s="22"/>
      <c r="AF11" s="22"/>
      <c r="AG11" s="22">
        <f>+'[2]FEBRERO 2017'!$L$180</f>
        <v>23240492</v>
      </c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3">
        <f t="shared" si="3"/>
        <v>0</v>
      </c>
      <c r="AY11" s="22">
        <f t="shared" si="4"/>
        <v>0</v>
      </c>
      <c r="AZ11" s="22">
        <f t="shared" si="5"/>
        <v>0</v>
      </c>
      <c r="BA11" s="22">
        <f t="shared" si="5"/>
        <v>0</v>
      </c>
      <c r="BB11" s="22">
        <f t="shared" si="5"/>
        <v>0</v>
      </c>
      <c r="BC11" s="22">
        <f t="shared" si="5"/>
        <v>0</v>
      </c>
      <c r="BD11" s="22">
        <f t="shared" si="5"/>
        <v>0</v>
      </c>
      <c r="BE11" s="22">
        <f t="shared" si="5"/>
        <v>0</v>
      </c>
      <c r="BF11" s="22">
        <f t="shared" si="5"/>
        <v>0</v>
      </c>
      <c r="BG11" s="22">
        <f t="shared" si="5"/>
        <v>0</v>
      </c>
      <c r="BH11" s="22">
        <f t="shared" si="5"/>
        <v>0</v>
      </c>
      <c r="BI11" s="22">
        <f t="shared" si="5"/>
        <v>0</v>
      </c>
      <c r="BJ11" s="22">
        <f t="shared" si="5"/>
        <v>0</v>
      </c>
      <c r="BK11" s="22">
        <f t="shared" si="5"/>
        <v>0</v>
      </c>
      <c r="BL11" s="22">
        <f t="shared" si="5"/>
        <v>0</v>
      </c>
      <c r="BM11" s="22">
        <f t="shared" si="5"/>
        <v>0</v>
      </c>
      <c r="BN11" s="22">
        <f t="shared" si="5"/>
        <v>0</v>
      </c>
      <c r="BO11" s="22">
        <f t="shared" si="5"/>
        <v>0</v>
      </c>
      <c r="BP11" s="22">
        <f t="shared" si="6"/>
        <v>0</v>
      </c>
      <c r="BQ11" s="22">
        <f t="shared" si="6"/>
        <v>0</v>
      </c>
      <c r="BR11" s="22">
        <f t="shared" si="6"/>
        <v>0</v>
      </c>
      <c r="BS11" s="22">
        <f t="shared" si="6"/>
        <v>0</v>
      </c>
      <c r="BT11" s="23">
        <f t="shared" si="7"/>
        <v>0</v>
      </c>
      <c r="BU11" s="22">
        <f t="shared" si="8"/>
        <v>0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3">
        <f t="shared" si="9"/>
        <v>1</v>
      </c>
      <c r="CQ11" s="22">
        <f t="shared" si="10"/>
        <v>23240492</v>
      </c>
      <c r="CR11" s="22">
        <f t="shared" si="13"/>
        <v>0</v>
      </c>
      <c r="CS11" s="22">
        <f t="shared" si="11"/>
        <v>0</v>
      </c>
      <c r="CT11" s="22">
        <f t="shared" si="11"/>
        <v>0</v>
      </c>
      <c r="CU11" s="22">
        <f t="shared" si="11"/>
        <v>23240492</v>
      </c>
      <c r="CV11" s="22">
        <f t="shared" si="11"/>
        <v>0</v>
      </c>
      <c r="CW11" s="22">
        <f t="shared" si="11"/>
        <v>0</v>
      </c>
      <c r="CX11" s="22">
        <f t="shared" si="11"/>
        <v>0</v>
      </c>
      <c r="CY11" s="22">
        <f t="shared" si="11"/>
        <v>0</v>
      </c>
      <c r="CZ11" s="22">
        <f t="shared" si="11"/>
        <v>0</v>
      </c>
      <c r="DA11" s="22">
        <f t="shared" si="11"/>
        <v>0</v>
      </c>
      <c r="DB11" s="22">
        <f t="shared" si="11"/>
        <v>0</v>
      </c>
      <c r="DC11" s="22">
        <f t="shared" si="11"/>
        <v>0</v>
      </c>
      <c r="DD11" s="22">
        <f t="shared" si="11"/>
        <v>0</v>
      </c>
      <c r="DE11" s="22">
        <f t="shared" si="11"/>
        <v>0</v>
      </c>
      <c r="DF11" s="22">
        <f t="shared" si="11"/>
        <v>0</v>
      </c>
      <c r="DG11" s="22">
        <f t="shared" si="11"/>
        <v>0</v>
      </c>
      <c r="DH11" s="22">
        <f t="shared" si="11"/>
        <v>0</v>
      </c>
      <c r="DI11" s="22">
        <f t="shared" si="12"/>
        <v>0</v>
      </c>
      <c r="DJ11" s="22">
        <f t="shared" si="12"/>
        <v>0</v>
      </c>
      <c r="DK11" s="22">
        <f t="shared" si="12"/>
        <v>0</v>
      </c>
      <c r="DN11" s="26"/>
      <c r="DO11" s="26"/>
      <c r="DP11" s="26"/>
    </row>
    <row r="12" spans="1:122" ht="78" hidden="1" customHeight="1" x14ac:dyDescent="0.25">
      <c r="A12" s="27"/>
      <c r="B12" s="36" t="s">
        <v>71</v>
      </c>
      <c r="C12" s="30" t="s">
        <v>72</v>
      </c>
      <c r="D12" s="19" t="s">
        <v>73</v>
      </c>
      <c r="E12" s="20">
        <v>510</v>
      </c>
      <c r="F12" s="21" t="s">
        <v>74</v>
      </c>
      <c r="G12" s="22">
        <f t="shared" si="0"/>
        <v>367600000</v>
      </c>
      <c r="H12" s="22"/>
      <c r="I12" s="22">
        <v>140000000</v>
      </c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>
        <v>150000000</v>
      </c>
      <c r="V12" s="22"/>
      <c r="W12" s="22"/>
      <c r="X12" s="22"/>
      <c r="Y12" s="22"/>
      <c r="Z12" s="22"/>
      <c r="AA12" s="22">
        <f>70600000+4000000+3000000+10000000-10000000</f>
        <v>77600000</v>
      </c>
      <c r="AB12" s="23">
        <f t="shared" si="1"/>
        <v>0.94446875136017405</v>
      </c>
      <c r="AC12" s="22">
        <f t="shared" si="2"/>
        <v>347186713</v>
      </c>
      <c r="AD12" s="22"/>
      <c r="AE12" s="22">
        <f>+'[1]ENERO 2017'!$K$549</f>
        <v>140000000</v>
      </c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>
        <f>+'[2]FEBRERO 2017'!$W$856</f>
        <v>150000000</v>
      </c>
      <c r="AR12" s="22"/>
      <c r="AS12" s="22"/>
      <c r="AT12" s="22"/>
      <c r="AU12" s="22"/>
      <c r="AV12" s="22"/>
      <c r="AW12" s="22">
        <f>+'[5]AGOSTO 2017'!$AC$2319</f>
        <v>57186713</v>
      </c>
      <c r="AX12" s="23">
        <f t="shared" si="3"/>
        <v>5.5531248639825947E-2</v>
      </c>
      <c r="AY12" s="22">
        <f t="shared" si="4"/>
        <v>20413287</v>
      </c>
      <c r="AZ12" s="22">
        <f t="shared" si="5"/>
        <v>0</v>
      </c>
      <c r="BA12" s="22">
        <f t="shared" si="5"/>
        <v>0</v>
      </c>
      <c r="BB12" s="22">
        <f t="shared" si="5"/>
        <v>0</v>
      </c>
      <c r="BC12" s="22">
        <f t="shared" si="5"/>
        <v>0</v>
      </c>
      <c r="BD12" s="22">
        <f t="shared" si="5"/>
        <v>0</v>
      </c>
      <c r="BE12" s="22">
        <f t="shared" si="5"/>
        <v>0</v>
      </c>
      <c r="BF12" s="22">
        <f t="shared" si="5"/>
        <v>0</v>
      </c>
      <c r="BG12" s="22">
        <f t="shared" si="5"/>
        <v>0</v>
      </c>
      <c r="BH12" s="22">
        <f t="shared" si="5"/>
        <v>0</v>
      </c>
      <c r="BI12" s="22">
        <f t="shared" si="5"/>
        <v>0</v>
      </c>
      <c r="BJ12" s="22">
        <f t="shared" si="5"/>
        <v>0</v>
      </c>
      <c r="BK12" s="22">
        <f t="shared" si="5"/>
        <v>0</v>
      </c>
      <c r="BL12" s="22">
        <f t="shared" si="5"/>
        <v>0</v>
      </c>
      <c r="BM12" s="22">
        <f t="shared" si="5"/>
        <v>0</v>
      </c>
      <c r="BN12" s="22">
        <f t="shared" si="5"/>
        <v>0</v>
      </c>
      <c r="BO12" s="22">
        <f t="shared" si="5"/>
        <v>0</v>
      </c>
      <c r="BP12" s="22">
        <f t="shared" si="6"/>
        <v>0</v>
      </c>
      <c r="BQ12" s="22">
        <f t="shared" si="6"/>
        <v>0</v>
      </c>
      <c r="BR12" s="22">
        <f t="shared" si="6"/>
        <v>0</v>
      </c>
      <c r="BS12" s="22">
        <f t="shared" si="6"/>
        <v>20413287</v>
      </c>
      <c r="BT12" s="23">
        <f t="shared" si="7"/>
        <v>0.72308786724700758</v>
      </c>
      <c r="BU12" s="22">
        <f t="shared" si="8"/>
        <v>265807100</v>
      </c>
      <c r="BV12" s="22"/>
      <c r="BW12" s="22">
        <f>+'[5]AGOSTO 2017'!$H$2323</f>
        <v>96774343</v>
      </c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>
        <f>+'[5]AGOSTO 2017'!$H$2347</f>
        <v>114846044</v>
      </c>
      <c r="CJ12" s="22"/>
      <c r="CK12" s="22"/>
      <c r="CL12" s="22"/>
      <c r="CM12" s="22"/>
      <c r="CN12" s="22"/>
      <c r="CO12" s="22">
        <f>+'[5]AGOSTO 2017'!$H$2320+'[5]AGOSTO 2017'!$H$2339+'[5]AGOSTO 2017'!$H$2341+'[5]AGOSTO 2017'!$H$2344+'[5]AGOSTO 2017'!$H$2345+'[5]AGOSTO 2017'!$H$2346+'[5]AGOSTO 2017'!$H$2380+'[5]AGOSTO 2017'!$H$2381+'[5]AGOSTO 2017'!$H$2383+'[5]AGOSTO 2017'!$H$2384+'[5]AGOSTO 2017'!$H$2386+'[5]AGOSTO 2017'!$H$2388+'[5]AGOSTO 2017'!$H$2390+'[5]AGOSTO 2017'!$H$2392+'[5]AGOSTO 2017'!$H$2394+'[5]AGOSTO 2017'!$H$2395+'[5]AGOSTO 2017'!$H$2396+'[5]AGOSTO 2017'!$H$2398+'[5]AGOSTO 2017'!$H$2400+'[5]AGOSTO 2017'!$H$2401+'[5]AGOSTO 2017'!$H$2403</f>
        <v>54186713</v>
      </c>
      <c r="CP12" s="23">
        <f t="shared" si="9"/>
        <v>0.27691213275299242</v>
      </c>
      <c r="CQ12" s="22">
        <f t="shared" si="10"/>
        <v>101792900</v>
      </c>
      <c r="CR12" s="22">
        <f t="shared" si="13"/>
        <v>0</v>
      </c>
      <c r="CS12" s="22">
        <f t="shared" si="11"/>
        <v>43225657</v>
      </c>
      <c r="CT12" s="22">
        <f t="shared" si="11"/>
        <v>0</v>
      </c>
      <c r="CU12" s="22">
        <f t="shared" si="11"/>
        <v>0</v>
      </c>
      <c r="CV12" s="22">
        <f t="shared" si="11"/>
        <v>0</v>
      </c>
      <c r="CW12" s="22">
        <f t="shared" si="11"/>
        <v>0</v>
      </c>
      <c r="CX12" s="22">
        <f t="shared" si="11"/>
        <v>0</v>
      </c>
      <c r="CY12" s="22">
        <f t="shared" si="11"/>
        <v>0</v>
      </c>
      <c r="CZ12" s="22">
        <f t="shared" si="11"/>
        <v>0</v>
      </c>
      <c r="DA12" s="22">
        <f t="shared" si="11"/>
        <v>0</v>
      </c>
      <c r="DB12" s="22">
        <f t="shared" si="11"/>
        <v>0</v>
      </c>
      <c r="DC12" s="22">
        <f t="shared" si="11"/>
        <v>0</v>
      </c>
      <c r="DD12" s="22">
        <f t="shared" si="11"/>
        <v>0</v>
      </c>
      <c r="DE12" s="22">
        <f t="shared" si="11"/>
        <v>35153956</v>
      </c>
      <c r="DF12" s="22">
        <f t="shared" si="11"/>
        <v>0</v>
      </c>
      <c r="DG12" s="22">
        <f t="shared" si="11"/>
        <v>0</v>
      </c>
      <c r="DH12" s="22">
        <f t="shared" si="11"/>
        <v>0</v>
      </c>
      <c r="DI12" s="22">
        <f t="shared" si="12"/>
        <v>0</v>
      </c>
      <c r="DJ12" s="22">
        <f t="shared" si="12"/>
        <v>0</v>
      </c>
      <c r="DK12" s="22">
        <f t="shared" si="12"/>
        <v>23413287</v>
      </c>
      <c r="DN12" s="26"/>
      <c r="DO12" s="26"/>
      <c r="DP12" s="26"/>
    </row>
    <row r="13" spans="1:122" ht="35.25" hidden="1" customHeight="1" x14ac:dyDescent="0.25">
      <c r="A13" s="27"/>
      <c r="B13" s="34"/>
      <c r="C13" s="18" t="s">
        <v>75</v>
      </c>
      <c r="D13" s="19" t="s">
        <v>76</v>
      </c>
      <c r="E13" s="20">
        <v>510</v>
      </c>
      <c r="F13" s="21" t="s">
        <v>56</v>
      </c>
      <c r="G13" s="22">
        <f t="shared" si="0"/>
        <v>100000000</v>
      </c>
      <c r="H13" s="22"/>
      <c r="I13" s="22"/>
      <c r="J13" s="22">
        <v>50000000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>
        <v>50000000</v>
      </c>
      <c r="V13" s="22"/>
      <c r="W13" s="22"/>
      <c r="X13" s="22"/>
      <c r="Y13" s="22"/>
      <c r="Z13" s="22"/>
      <c r="AA13" s="22"/>
      <c r="AB13" s="23">
        <f t="shared" si="1"/>
        <v>1</v>
      </c>
      <c r="AC13" s="22">
        <f t="shared" si="2"/>
        <v>100000000</v>
      </c>
      <c r="AD13" s="22"/>
      <c r="AE13" s="22"/>
      <c r="AF13" s="22">
        <f>+'[1]ENERO 2017'!$L$565</f>
        <v>50000000</v>
      </c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>
        <f>+'[2]FEBRERO 2017'!$W$879</f>
        <v>50000000</v>
      </c>
      <c r="AR13" s="22"/>
      <c r="AS13" s="22"/>
      <c r="AT13" s="22"/>
      <c r="AU13" s="22"/>
      <c r="AV13" s="22"/>
      <c r="AW13" s="22"/>
      <c r="AX13" s="23">
        <f t="shared" si="3"/>
        <v>0</v>
      </c>
      <c r="AY13" s="22">
        <f t="shared" si="4"/>
        <v>0</v>
      </c>
      <c r="AZ13" s="22">
        <f t="shared" si="5"/>
        <v>0</v>
      </c>
      <c r="BA13" s="22">
        <f t="shared" si="5"/>
        <v>0</v>
      </c>
      <c r="BB13" s="22">
        <f t="shared" si="5"/>
        <v>0</v>
      </c>
      <c r="BC13" s="22">
        <f t="shared" si="5"/>
        <v>0</v>
      </c>
      <c r="BD13" s="22">
        <f t="shared" si="5"/>
        <v>0</v>
      </c>
      <c r="BE13" s="22">
        <f t="shared" si="5"/>
        <v>0</v>
      </c>
      <c r="BF13" s="22">
        <f t="shared" si="5"/>
        <v>0</v>
      </c>
      <c r="BG13" s="22">
        <f t="shared" si="5"/>
        <v>0</v>
      </c>
      <c r="BH13" s="22">
        <f t="shared" si="5"/>
        <v>0</v>
      </c>
      <c r="BI13" s="22">
        <f t="shared" si="5"/>
        <v>0</v>
      </c>
      <c r="BJ13" s="22">
        <f t="shared" si="5"/>
        <v>0</v>
      </c>
      <c r="BK13" s="22">
        <f t="shared" si="5"/>
        <v>0</v>
      </c>
      <c r="BL13" s="22">
        <f t="shared" si="5"/>
        <v>0</v>
      </c>
      <c r="BM13" s="22">
        <f t="shared" si="5"/>
        <v>0</v>
      </c>
      <c r="BN13" s="22">
        <f t="shared" si="5"/>
        <v>0</v>
      </c>
      <c r="BO13" s="22">
        <f t="shared" si="5"/>
        <v>0</v>
      </c>
      <c r="BP13" s="22">
        <f t="shared" si="6"/>
        <v>0</v>
      </c>
      <c r="BQ13" s="22">
        <f t="shared" si="6"/>
        <v>0</v>
      </c>
      <c r="BR13" s="22">
        <f t="shared" si="6"/>
        <v>0</v>
      </c>
      <c r="BS13" s="22">
        <f t="shared" si="6"/>
        <v>0</v>
      </c>
      <c r="BT13" s="23">
        <f t="shared" si="7"/>
        <v>0.60482608999999998</v>
      </c>
      <c r="BU13" s="22">
        <f t="shared" si="8"/>
        <v>60482609</v>
      </c>
      <c r="BV13" s="22"/>
      <c r="BW13" s="22"/>
      <c r="BX13" s="22">
        <f>+'[5]AGOSTO 2017'!$H$2411</f>
        <v>45843057</v>
      </c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>
        <f>+'[5]AGOSTO 2017'!$H$2452</f>
        <v>14639552</v>
      </c>
      <c r="CJ13" s="22"/>
      <c r="CK13" s="22"/>
      <c r="CL13" s="22"/>
      <c r="CM13" s="22"/>
      <c r="CN13" s="22"/>
      <c r="CO13" s="22"/>
      <c r="CP13" s="23">
        <f t="shared" si="9"/>
        <v>0.39517391000000002</v>
      </c>
      <c r="CQ13" s="22">
        <f t="shared" si="10"/>
        <v>39517391</v>
      </c>
      <c r="CR13" s="22">
        <f t="shared" si="13"/>
        <v>0</v>
      </c>
      <c r="CS13" s="22">
        <f t="shared" si="11"/>
        <v>0</v>
      </c>
      <c r="CT13" s="22">
        <f t="shared" si="11"/>
        <v>4156943</v>
      </c>
      <c r="CU13" s="22">
        <f t="shared" si="11"/>
        <v>0</v>
      </c>
      <c r="CV13" s="22">
        <f t="shared" si="11"/>
        <v>0</v>
      </c>
      <c r="CW13" s="22">
        <f t="shared" si="11"/>
        <v>0</v>
      </c>
      <c r="CX13" s="22">
        <f t="shared" si="11"/>
        <v>0</v>
      </c>
      <c r="CY13" s="22">
        <f t="shared" si="11"/>
        <v>0</v>
      </c>
      <c r="CZ13" s="22">
        <f t="shared" si="11"/>
        <v>0</v>
      </c>
      <c r="DA13" s="22">
        <f t="shared" si="11"/>
        <v>0</v>
      </c>
      <c r="DB13" s="22">
        <f t="shared" si="11"/>
        <v>0</v>
      </c>
      <c r="DC13" s="22">
        <f t="shared" si="11"/>
        <v>0</v>
      </c>
      <c r="DD13" s="22">
        <f t="shared" si="11"/>
        <v>0</v>
      </c>
      <c r="DE13" s="22">
        <f t="shared" si="11"/>
        <v>35360448</v>
      </c>
      <c r="DF13" s="22">
        <f t="shared" si="11"/>
        <v>0</v>
      </c>
      <c r="DG13" s="22">
        <f t="shared" si="11"/>
        <v>0</v>
      </c>
      <c r="DH13" s="22">
        <f t="shared" si="11"/>
        <v>0</v>
      </c>
      <c r="DI13" s="22">
        <f t="shared" si="12"/>
        <v>0</v>
      </c>
      <c r="DJ13" s="22">
        <f t="shared" si="12"/>
        <v>0</v>
      </c>
      <c r="DK13" s="22">
        <f t="shared" si="12"/>
        <v>0</v>
      </c>
      <c r="DN13" s="26"/>
      <c r="DO13" s="26"/>
      <c r="DP13" s="26"/>
    </row>
    <row r="14" spans="1:122" ht="47.25" hidden="1" customHeight="1" x14ac:dyDescent="0.25">
      <c r="A14" s="27"/>
      <c r="B14" s="34"/>
      <c r="C14" s="18" t="s">
        <v>77</v>
      </c>
      <c r="D14" s="19" t="s">
        <v>78</v>
      </c>
      <c r="E14" s="20">
        <v>510</v>
      </c>
      <c r="F14" s="21" t="s">
        <v>56</v>
      </c>
      <c r="G14" s="22">
        <f t="shared" si="0"/>
        <v>75092920</v>
      </c>
      <c r="H14" s="22"/>
      <c r="I14" s="22"/>
      <c r="J14" s="22">
        <v>50000000</v>
      </c>
      <c r="K14" s="22">
        <v>25092920</v>
      </c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3">
        <f t="shared" si="1"/>
        <v>1</v>
      </c>
      <c r="AC14" s="22">
        <f t="shared" si="2"/>
        <v>75092920</v>
      </c>
      <c r="AD14" s="22"/>
      <c r="AE14" s="22"/>
      <c r="AF14" s="22">
        <f>+'[4]MAYO 2017'!$L$1270</f>
        <v>50000000</v>
      </c>
      <c r="AG14" s="22">
        <f>+'[2]FEBRERO 2017'!$L$887</f>
        <v>25092920</v>
      </c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3">
        <f t="shared" si="3"/>
        <v>0</v>
      </c>
      <c r="AY14" s="22">
        <f t="shared" si="4"/>
        <v>0</v>
      </c>
      <c r="AZ14" s="22">
        <f t="shared" si="5"/>
        <v>0</v>
      </c>
      <c r="BA14" s="22">
        <f t="shared" si="5"/>
        <v>0</v>
      </c>
      <c r="BB14" s="22">
        <f t="shared" si="5"/>
        <v>0</v>
      </c>
      <c r="BC14" s="22">
        <f t="shared" si="5"/>
        <v>0</v>
      </c>
      <c r="BD14" s="22">
        <f t="shared" si="5"/>
        <v>0</v>
      </c>
      <c r="BE14" s="22">
        <f t="shared" si="5"/>
        <v>0</v>
      </c>
      <c r="BF14" s="22">
        <f t="shared" si="5"/>
        <v>0</v>
      </c>
      <c r="BG14" s="22">
        <f t="shared" si="5"/>
        <v>0</v>
      </c>
      <c r="BH14" s="22">
        <f t="shared" si="5"/>
        <v>0</v>
      </c>
      <c r="BI14" s="22">
        <f t="shared" si="5"/>
        <v>0</v>
      </c>
      <c r="BJ14" s="22">
        <f t="shared" si="5"/>
        <v>0</v>
      </c>
      <c r="BK14" s="22">
        <f t="shared" si="5"/>
        <v>0</v>
      </c>
      <c r="BL14" s="22">
        <f t="shared" si="5"/>
        <v>0</v>
      </c>
      <c r="BM14" s="22">
        <f t="shared" si="5"/>
        <v>0</v>
      </c>
      <c r="BN14" s="22">
        <f t="shared" si="5"/>
        <v>0</v>
      </c>
      <c r="BO14" s="22">
        <f t="shared" si="5"/>
        <v>0</v>
      </c>
      <c r="BP14" s="22">
        <f t="shared" si="6"/>
        <v>0</v>
      </c>
      <c r="BQ14" s="22">
        <f t="shared" si="6"/>
        <v>0</v>
      </c>
      <c r="BR14" s="22">
        <f t="shared" si="6"/>
        <v>0</v>
      </c>
      <c r="BS14" s="22">
        <f t="shared" si="6"/>
        <v>0</v>
      </c>
      <c r="BT14" s="23">
        <f t="shared" si="7"/>
        <v>0.25091376124406933</v>
      </c>
      <c r="BU14" s="22">
        <f t="shared" si="8"/>
        <v>18841847</v>
      </c>
      <c r="BV14" s="22"/>
      <c r="BW14" s="22"/>
      <c r="BX14" s="22"/>
      <c r="BY14" s="22">
        <f>+'[5]AGOSTO 2017'!$H$2461</f>
        <v>18841847</v>
      </c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3">
        <f t="shared" si="9"/>
        <v>0.74908623875593072</v>
      </c>
      <c r="CQ14" s="22">
        <f t="shared" si="10"/>
        <v>56251073</v>
      </c>
      <c r="CR14" s="22">
        <f t="shared" si="13"/>
        <v>0</v>
      </c>
      <c r="CS14" s="22">
        <f t="shared" si="11"/>
        <v>0</v>
      </c>
      <c r="CT14" s="22">
        <f t="shared" si="11"/>
        <v>50000000</v>
      </c>
      <c r="CU14" s="22">
        <f t="shared" si="11"/>
        <v>6251073</v>
      </c>
      <c r="CV14" s="22">
        <f t="shared" si="11"/>
        <v>0</v>
      </c>
      <c r="CW14" s="22">
        <f t="shared" si="11"/>
        <v>0</v>
      </c>
      <c r="CX14" s="22">
        <f t="shared" si="11"/>
        <v>0</v>
      </c>
      <c r="CY14" s="22">
        <f t="shared" si="11"/>
        <v>0</v>
      </c>
      <c r="CZ14" s="22">
        <f t="shared" si="11"/>
        <v>0</v>
      </c>
      <c r="DA14" s="22">
        <f t="shared" si="11"/>
        <v>0</v>
      </c>
      <c r="DB14" s="22">
        <f t="shared" si="11"/>
        <v>0</v>
      </c>
      <c r="DC14" s="22">
        <f t="shared" si="11"/>
        <v>0</v>
      </c>
      <c r="DD14" s="22">
        <f t="shared" si="11"/>
        <v>0</v>
      </c>
      <c r="DE14" s="22">
        <f t="shared" si="11"/>
        <v>0</v>
      </c>
      <c r="DF14" s="22">
        <f t="shared" si="11"/>
        <v>0</v>
      </c>
      <c r="DG14" s="22">
        <f t="shared" si="11"/>
        <v>0</v>
      </c>
      <c r="DH14" s="22">
        <f t="shared" si="11"/>
        <v>0</v>
      </c>
      <c r="DI14" s="22">
        <f t="shared" si="12"/>
        <v>0</v>
      </c>
      <c r="DJ14" s="22">
        <f t="shared" si="12"/>
        <v>0</v>
      </c>
      <c r="DK14" s="22">
        <f t="shared" si="12"/>
        <v>0</v>
      </c>
      <c r="DN14" s="26"/>
      <c r="DO14" s="26"/>
      <c r="DP14" s="26"/>
    </row>
    <row r="15" spans="1:122" ht="33" hidden="1" customHeight="1" x14ac:dyDescent="0.25">
      <c r="A15" s="27"/>
      <c r="B15" s="34"/>
      <c r="C15" s="18" t="s">
        <v>79</v>
      </c>
      <c r="D15" s="19" t="s">
        <v>80</v>
      </c>
      <c r="E15" s="20">
        <v>510</v>
      </c>
      <c r="F15" s="21" t="s">
        <v>56</v>
      </c>
      <c r="G15" s="22">
        <f t="shared" si="0"/>
        <v>103646000</v>
      </c>
      <c r="H15" s="22"/>
      <c r="I15" s="22"/>
      <c r="J15" s="22">
        <v>80000000</v>
      </c>
      <c r="K15" s="22">
        <v>23646000</v>
      </c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3">
        <f t="shared" si="1"/>
        <v>1</v>
      </c>
      <c r="AC15" s="22">
        <f t="shared" si="2"/>
        <v>103646000</v>
      </c>
      <c r="AD15" s="22"/>
      <c r="AE15" s="22"/>
      <c r="AF15" s="22">
        <f>+'[1]ENERO 2017'!$L$579</f>
        <v>80000000</v>
      </c>
      <c r="AG15" s="22">
        <v>23646000</v>
      </c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3">
        <f>1-AB15</f>
        <v>0</v>
      </c>
      <c r="AY15" s="22">
        <f t="shared" si="4"/>
        <v>0</v>
      </c>
      <c r="AZ15" s="22">
        <f t="shared" si="5"/>
        <v>0</v>
      </c>
      <c r="BA15" s="22">
        <f t="shared" si="5"/>
        <v>0</v>
      </c>
      <c r="BB15" s="22">
        <f t="shared" si="5"/>
        <v>0</v>
      </c>
      <c r="BC15" s="22">
        <f t="shared" si="5"/>
        <v>0</v>
      </c>
      <c r="BD15" s="22">
        <f t="shared" si="5"/>
        <v>0</v>
      </c>
      <c r="BE15" s="22">
        <f t="shared" si="5"/>
        <v>0</v>
      </c>
      <c r="BF15" s="22">
        <f t="shared" si="5"/>
        <v>0</v>
      </c>
      <c r="BG15" s="22">
        <f t="shared" si="5"/>
        <v>0</v>
      </c>
      <c r="BH15" s="22">
        <f t="shared" si="5"/>
        <v>0</v>
      </c>
      <c r="BI15" s="22">
        <f t="shared" si="5"/>
        <v>0</v>
      </c>
      <c r="BJ15" s="22">
        <f t="shared" si="5"/>
        <v>0</v>
      </c>
      <c r="BK15" s="22">
        <f t="shared" si="5"/>
        <v>0</v>
      </c>
      <c r="BL15" s="22">
        <f t="shared" si="5"/>
        <v>0</v>
      </c>
      <c r="BM15" s="22">
        <f t="shared" si="5"/>
        <v>0</v>
      </c>
      <c r="BN15" s="22">
        <f t="shared" si="5"/>
        <v>0</v>
      </c>
      <c r="BO15" s="22">
        <f t="shared" si="5"/>
        <v>0</v>
      </c>
      <c r="BP15" s="22">
        <f t="shared" si="6"/>
        <v>0</v>
      </c>
      <c r="BQ15" s="22">
        <f t="shared" si="6"/>
        <v>0</v>
      </c>
      <c r="BR15" s="22">
        <f t="shared" si="6"/>
        <v>0</v>
      </c>
      <c r="BS15" s="22">
        <f t="shared" si="6"/>
        <v>0</v>
      </c>
      <c r="BT15" s="23">
        <f t="shared" si="7"/>
        <v>0.65871728769079363</v>
      </c>
      <c r="BU15" s="22">
        <f t="shared" si="8"/>
        <v>68273412</v>
      </c>
      <c r="BV15" s="22"/>
      <c r="BW15" s="22"/>
      <c r="BX15" s="22">
        <f>+'[5]AGOSTO 2017'!$H$2468-BY15</f>
        <v>44627412</v>
      </c>
      <c r="BY15" s="22">
        <v>23646000</v>
      </c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3">
        <f t="shared" si="9"/>
        <v>0.34128271230920637</v>
      </c>
      <c r="CQ15" s="22">
        <f t="shared" si="10"/>
        <v>35372588</v>
      </c>
      <c r="CR15" s="22">
        <f t="shared" si="13"/>
        <v>0</v>
      </c>
      <c r="CS15" s="22">
        <f t="shared" si="11"/>
        <v>0</v>
      </c>
      <c r="CT15" s="22">
        <f t="shared" si="11"/>
        <v>35372588</v>
      </c>
      <c r="CU15" s="22">
        <f>K15-BY15</f>
        <v>0</v>
      </c>
      <c r="CV15" s="22">
        <f t="shared" si="11"/>
        <v>0</v>
      </c>
      <c r="CW15" s="22">
        <f t="shared" si="11"/>
        <v>0</v>
      </c>
      <c r="CX15" s="22">
        <f t="shared" si="11"/>
        <v>0</v>
      </c>
      <c r="CY15" s="22">
        <f t="shared" si="11"/>
        <v>0</v>
      </c>
      <c r="CZ15" s="22">
        <f t="shared" si="11"/>
        <v>0</v>
      </c>
      <c r="DA15" s="22">
        <f t="shared" si="11"/>
        <v>0</v>
      </c>
      <c r="DB15" s="22">
        <f t="shared" si="11"/>
        <v>0</v>
      </c>
      <c r="DC15" s="22">
        <f t="shared" si="11"/>
        <v>0</v>
      </c>
      <c r="DD15" s="22">
        <f t="shared" si="11"/>
        <v>0</v>
      </c>
      <c r="DE15" s="22">
        <f t="shared" si="11"/>
        <v>0</v>
      </c>
      <c r="DF15" s="22">
        <f t="shared" si="11"/>
        <v>0</v>
      </c>
      <c r="DG15" s="22">
        <f t="shared" si="11"/>
        <v>0</v>
      </c>
      <c r="DH15" s="22">
        <f t="shared" si="11"/>
        <v>0</v>
      </c>
      <c r="DI15" s="22">
        <f t="shared" si="12"/>
        <v>0</v>
      </c>
      <c r="DJ15" s="22">
        <f t="shared" si="12"/>
        <v>0</v>
      </c>
      <c r="DK15" s="22">
        <f t="shared" si="12"/>
        <v>0</v>
      </c>
      <c r="DN15" s="26"/>
      <c r="DO15" s="26"/>
      <c r="DP15" s="26"/>
      <c r="DR15" s="35"/>
    </row>
    <row r="16" spans="1:122" ht="32.25" hidden="1" customHeight="1" x14ac:dyDescent="0.25">
      <c r="A16" s="27"/>
      <c r="B16" s="34"/>
      <c r="C16" s="18" t="s">
        <v>81</v>
      </c>
      <c r="D16" s="19" t="s">
        <v>82</v>
      </c>
      <c r="E16" s="20">
        <v>510</v>
      </c>
      <c r="F16" s="21" t="s">
        <v>56</v>
      </c>
      <c r="G16" s="22">
        <f t="shared" si="0"/>
        <v>34000000</v>
      </c>
      <c r="H16" s="22"/>
      <c r="I16" s="22"/>
      <c r="J16" s="22">
        <v>34000000</v>
      </c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3">
        <f t="shared" si="1"/>
        <v>3.164705882352941E-2</v>
      </c>
      <c r="AC16" s="22">
        <f t="shared" si="2"/>
        <v>1076000</v>
      </c>
      <c r="AD16" s="22"/>
      <c r="AE16" s="22"/>
      <c r="AF16" s="22">
        <f>+'[2]FEBRERO 2017'!$L$911</f>
        <v>1076000</v>
      </c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3">
        <f t="shared" si="3"/>
        <v>0.96835294117647064</v>
      </c>
      <c r="AY16" s="22">
        <f t="shared" ref="AY16:AY23" si="14">SUM(AZ16:BS16)</f>
        <v>32924000</v>
      </c>
      <c r="AZ16" s="22">
        <f t="shared" si="5"/>
        <v>0</v>
      </c>
      <c r="BA16" s="22">
        <f t="shared" si="5"/>
        <v>0</v>
      </c>
      <c r="BB16" s="22">
        <f t="shared" si="5"/>
        <v>32924000</v>
      </c>
      <c r="BC16" s="22">
        <f t="shared" si="5"/>
        <v>0</v>
      </c>
      <c r="BD16" s="22">
        <f t="shared" si="5"/>
        <v>0</v>
      </c>
      <c r="BE16" s="22">
        <f t="shared" si="5"/>
        <v>0</v>
      </c>
      <c r="BF16" s="22">
        <f t="shared" si="5"/>
        <v>0</v>
      </c>
      <c r="BG16" s="22">
        <f t="shared" si="5"/>
        <v>0</v>
      </c>
      <c r="BH16" s="22">
        <f t="shared" si="5"/>
        <v>0</v>
      </c>
      <c r="BI16" s="22">
        <f t="shared" si="5"/>
        <v>0</v>
      </c>
      <c r="BJ16" s="22">
        <f t="shared" si="5"/>
        <v>0</v>
      </c>
      <c r="BK16" s="22">
        <f t="shared" si="5"/>
        <v>0</v>
      </c>
      <c r="BL16" s="22">
        <f t="shared" si="5"/>
        <v>0</v>
      </c>
      <c r="BM16" s="22">
        <f t="shared" si="5"/>
        <v>0</v>
      </c>
      <c r="BN16" s="22">
        <f t="shared" si="5"/>
        <v>0</v>
      </c>
      <c r="BO16" s="22">
        <f t="shared" si="5"/>
        <v>0</v>
      </c>
      <c r="BP16" s="22">
        <f t="shared" si="6"/>
        <v>0</v>
      </c>
      <c r="BQ16" s="22">
        <f t="shared" si="6"/>
        <v>0</v>
      </c>
      <c r="BR16" s="22">
        <f t="shared" si="6"/>
        <v>0</v>
      </c>
      <c r="BS16" s="22">
        <f t="shared" si="6"/>
        <v>0</v>
      </c>
      <c r="BT16" s="23">
        <f t="shared" si="7"/>
        <v>3.164705882352941E-2</v>
      </c>
      <c r="BU16" s="22">
        <f t="shared" si="8"/>
        <v>1076000</v>
      </c>
      <c r="BV16" s="22"/>
      <c r="BW16" s="22"/>
      <c r="BX16" s="22">
        <f>+'[2]FEBRERO 2017'!$H$909</f>
        <v>1076000</v>
      </c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3">
        <f t="shared" si="9"/>
        <v>0.96835294117647064</v>
      </c>
      <c r="CQ16" s="22">
        <f t="shared" si="10"/>
        <v>32924000</v>
      </c>
      <c r="CR16" s="22">
        <f t="shared" si="13"/>
        <v>0</v>
      </c>
      <c r="CS16" s="22">
        <f t="shared" si="11"/>
        <v>0</v>
      </c>
      <c r="CT16" s="22">
        <f t="shared" si="11"/>
        <v>32924000</v>
      </c>
      <c r="CU16" s="22">
        <f t="shared" si="11"/>
        <v>0</v>
      </c>
      <c r="CV16" s="22">
        <f t="shared" si="11"/>
        <v>0</v>
      </c>
      <c r="CW16" s="22">
        <f t="shared" si="11"/>
        <v>0</v>
      </c>
      <c r="CX16" s="22">
        <f t="shared" si="11"/>
        <v>0</v>
      </c>
      <c r="CY16" s="22">
        <f t="shared" si="11"/>
        <v>0</v>
      </c>
      <c r="CZ16" s="22">
        <f t="shared" si="11"/>
        <v>0</v>
      </c>
      <c r="DA16" s="22">
        <f t="shared" si="11"/>
        <v>0</v>
      </c>
      <c r="DB16" s="22">
        <f t="shared" si="11"/>
        <v>0</v>
      </c>
      <c r="DC16" s="22">
        <f t="shared" si="11"/>
        <v>0</v>
      </c>
      <c r="DD16" s="22">
        <f t="shared" si="11"/>
        <v>0</v>
      </c>
      <c r="DE16" s="22">
        <f t="shared" si="11"/>
        <v>0</v>
      </c>
      <c r="DF16" s="22">
        <f t="shared" si="11"/>
        <v>0</v>
      </c>
      <c r="DG16" s="22">
        <f t="shared" si="11"/>
        <v>0</v>
      </c>
      <c r="DH16" s="22">
        <f t="shared" si="11"/>
        <v>0</v>
      </c>
      <c r="DI16" s="22">
        <f t="shared" si="12"/>
        <v>0</v>
      </c>
      <c r="DJ16" s="22">
        <f t="shared" si="12"/>
        <v>0</v>
      </c>
      <c r="DK16" s="22">
        <f t="shared" si="12"/>
        <v>0</v>
      </c>
      <c r="DN16" s="26"/>
      <c r="DO16" s="26"/>
      <c r="DP16" s="26"/>
    </row>
    <row r="17" spans="1:121" ht="39" hidden="1" customHeight="1" x14ac:dyDescent="0.25">
      <c r="A17" s="27"/>
      <c r="B17" s="184" t="s">
        <v>83</v>
      </c>
      <c r="C17" s="30" t="s">
        <v>84</v>
      </c>
      <c r="D17" s="31" t="s">
        <v>85</v>
      </c>
      <c r="E17" s="20">
        <v>510</v>
      </c>
      <c r="F17" s="21" t="s">
        <v>86</v>
      </c>
      <c r="G17" s="22">
        <f t="shared" si="0"/>
        <v>221000000</v>
      </c>
      <c r="H17" s="22"/>
      <c r="I17" s="22">
        <f>65000000+100000000+40000000</f>
        <v>205000000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>
        <v>16000000</v>
      </c>
      <c r="AB17" s="23">
        <f t="shared" si="1"/>
        <v>0.99925212669683261</v>
      </c>
      <c r="AC17" s="22">
        <f t="shared" si="2"/>
        <v>220834720</v>
      </c>
      <c r="AD17" s="22"/>
      <c r="AE17" s="22">
        <f>+'[5]AGOSTO 2017'!$K$2502</f>
        <v>204834720</v>
      </c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>
        <f>+'[3]JUNIO 2017'!$AC$1533</f>
        <v>16000000</v>
      </c>
      <c r="AX17" s="23">
        <f>1-AB17</f>
        <v>7.4787330316739009E-4</v>
      </c>
      <c r="AY17" s="22">
        <f t="shared" si="14"/>
        <v>165280</v>
      </c>
      <c r="AZ17" s="22">
        <f t="shared" si="5"/>
        <v>0</v>
      </c>
      <c r="BA17" s="22">
        <f t="shared" si="5"/>
        <v>165280</v>
      </c>
      <c r="BB17" s="22">
        <f t="shared" si="5"/>
        <v>0</v>
      </c>
      <c r="BC17" s="22">
        <f t="shared" si="5"/>
        <v>0</v>
      </c>
      <c r="BD17" s="22">
        <f t="shared" si="5"/>
        <v>0</v>
      </c>
      <c r="BE17" s="22">
        <f t="shared" si="5"/>
        <v>0</v>
      </c>
      <c r="BF17" s="22">
        <f t="shared" si="5"/>
        <v>0</v>
      </c>
      <c r="BG17" s="22">
        <f t="shared" si="5"/>
        <v>0</v>
      </c>
      <c r="BH17" s="22">
        <f t="shared" si="5"/>
        <v>0</v>
      </c>
      <c r="BI17" s="22">
        <f t="shared" si="5"/>
        <v>0</v>
      </c>
      <c r="BJ17" s="22">
        <f t="shared" si="5"/>
        <v>0</v>
      </c>
      <c r="BK17" s="22">
        <f t="shared" si="5"/>
        <v>0</v>
      </c>
      <c r="BL17" s="22">
        <f t="shared" si="5"/>
        <v>0</v>
      </c>
      <c r="BM17" s="22">
        <f t="shared" si="5"/>
        <v>0</v>
      </c>
      <c r="BN17" s="22">
        <f t="shared" si="5"/>
        <v>0</v>
      </c>
      <c r="BO17" s="22">
        <f t="shared" si="5"/>
        <v>0</v>
      </c>
      <c r="BP17" s="22">
        <f t="shared" si="6"/>
        <v>0</v>
      </c>
      <c r="BQ17" s="22">
        <f t="shared" si="6"/>
        <v>0</v>
      </c>
      <c r="BR17" s="22">
        <f t="shared" si="6"/>
        <v>0</v>
      </c>
      <c r="BS17" s="22">
        <f t="shared" si="6"/>
        <v>0</v>
      </c>
      <c r="BT17" s="23">
        <f t="shared" si="7"/>
        <v>0.73582141628959274</v>
      </c>
      <c r="BU17" s="22">
        <f t="shared" si="8"/>
        <v>162616533</v>
      </c>
      <c r="BV17" s="22"/>
      <c r="BW17" s="22">
        <f>+'[5]AGOSTO 2017'!$H$2500-'[5]AGOSTO 2017'!$H$2536</f>
        <v>150571965</v>
      </c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>
        <f>+'[5]AGOSTO 2017'!$H$2536</f>
        <v>12044568</v>
      </c>
      <c r="CP17" s="23">
        <f t="shared" si="9"/>
        <v>0.26417858371040726</v>
      </c>
      <c r="CQ17" s="22">
        <f t="shared" si="10"/>
        <v>58383467</v>
      </c>
      <c r="CR17" s="22">
        <f t="shared" si="13"/>
        <v>0</v>
      </c>
      <c r="CS17" s="22">
        <f t="shared" si="11"/>
        <v>54428035</v>
      </c>
      <c r="CT17" s="22">
        <f t="shared" si="11"/>
        <v>0</v>
      </c>
      <c r="CU17" s="22">
        <f t="shared" si="11"/>
        <v>0</v>
      </c>
      <c r="CV17" s="22">
        <f t="shared" si="11"/>
        <v>0</v>
      </c>
      <c r="CW17" s="22">
        <f t="shared" si="11"/>
        <v>0</v>
      </c>
      <c r="CX17" s="22">
        <f t="shared" si="11"/>
        <v>0</v>
      </c>
      <c r="CY17" s="22">
        <f t="shared" si="11"/>
        <v>0</v>
      </c>
      <c r="CZ17" s="22">
        <f t="shared" si="11"/>
        <v>0</v>
      </c>
      <c r="DA17" s="22">
        <f t="shared" si="11"/>
        <v>0</v>
      </c>
      <c r="DB17" s="22">
        <f t="shared" si="11"/>
        <v>0</v>
      </c>
      <c r="DC17" s="22">
        <f t="shared" si="11"/>
        <v>0</v>
      </c>
      <c r="DD17" s="22">
        <f t="shared" si="11"/>
        <v>0</v>
      </c>
      <c r="DE17" s="22">
        <f t="shared" si="11"/>
        <v>0</v>
      </c>
      <c r="DF17" s="22">
        <f t="shared" si="11"/>
        <v>0</v>
      </c>
      <c r="DG17" s="22">
        <f t="shared" si="11"/>
        <v>0</v>
      </c>
      <c r="DH17" s="22">
        <f t="shared" si="11"/>
        <v>0</v>
      </c>
      <c r="DI17" s="22">
        <f t="shared" si="12"/>
        <v>0</v>
      </c>
      <c r="DJ17" s="22">
        <f t="shared" si="12"/>
        <v>0</v>
      </c>
      <c r="DK17" s="22">
        <f t="shared" si="12"/>
        <v>3955432</v>
      </c>
      <c r="DN17" s="26"/>
      <c r="DO17" s="26"/>
      <c r="DP17" s="26"/>
    </row>
    <row r="18" spans="1:121" ht="48" hidden="1" customHeight="1" x14ac:dyDescent="0.25">
      <c r="A18" s="27"/>
      <c r="B18" s="184"/>
      <c r="C18" s="30" t="s">
        <v>87</v>
      </c>
      <c r="D18" s="19" t="s">
        <v>88</v>
      </c>
      <c r="E18" s="20">
        <v>510</v>
      </c>
      <c r="F18" s="21" t="s">
        <v>86</v>
      </c>
      <c r="G18" s="22">
        <f t="shared" si="0"/>
        <v>53440391</v>
      </c>
      <c r="H18" s="22"/>
      <c r="I18" s="22">
        <v>25000000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>
        <v>7440391</v>
      </c>
      <c r="V18" s="22"/>
      <c r="W18" s="22"/>
      <c r="X18" s="22"/>
      <c r="Y18" s="22"/>
      <c r="Z18" s="22"/>
      <c r="AA18" s="22">
        <f>5000000+16000000</f>
        <v>21000000</v>
      </c>
      <c r="AB18" s="23">
        <f t="shared" si="1"/>
        <v>0.75673830679869092</v>
      </c>
      <c r="AC18" s="22">
        <f t="shared" si="2"/>
        <v>40440391</v>
      </c>
      <c r="AD18" s="22"/>
      <c r="AE18" s="22">
        <f>+'[1]ENERO 2017'!$K$602</f>
        <v>25000000</v>
      </c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>
        <f>+'[2]FEBRERO 2017'!$W$952</f>
        <v>7440391</v>
      </c>
      <c r="AR18" s="22"/>
      <c r="AS18" s="22"/>
      <c r="AT18" s="22"/>
      <c r="AU18" s="22"/>
      <c r="AV18" s="22"/>
      <c r="AW18" s="22">
        <f>+'[5]AGOSTO 2017'!$AC$2543</f>
        <v>8000000</v>
      </c>
      <c r="AX18" s="23">
        <f t="shared" si="3"/>
        <v>0.24326169320130908</v>
      </c>
      <c r="AY18" s="22">
        <f t="shared" si="14"/>
        <v>13000000</v>
      </c>
      <c r="AZ18" s="22">
        <f t="shared" si="5"/>
        <v>0</v>
      </c>
      <c r="BA18" s="22">
        <f t="shared" si="5"/>
        <v>0</v>
      </c>
      <c r="BB18" s="22">
        <f t="shared" si="5"/>
        <v>0</v>
      </c>
      <c r="BC18" s="22">
        <f t="shared" si="5"/>
        <v>0</v>
      </c>
      <c r="BD18" s="22">
        <f t="shared" si="5"/>
        <v>0</v>
      </c>
      <c r="BE18" s="22">
        <f t="shared" si="5"/>
        <v>0</v>
      </c>
      <c r="BF18" s="22">
        <f t="shared" si="5"/>
        <v>0</v>
      </c>
      <c r="BG18" s="22">
        <f t="shared" si="5"/>
        <v>0</v>
      </c>
      <c r="BH18" s="22">
        <f t="shared" si="5"/>
        <v>0</v>
      </c>
      <c r="BI18" s="22">
        <f t="shared" si="5"/>
        <v>0</v>
      </c>
      <c r="BJ18" s="22">
        <f t="shared" si="5"/>
        <v>0</v>
      </c>
      <c r="BK18" s="22">
        <f t="shared" si="5"/>
        <v>0</v>
      </c>
      <c r="BL18" s="22">
        <f t="shared" si="5"/>
        <v>0</v>
      </c>
      <c r="BM18" s="22">
        <f t="shared" si="5"/>
        <v>0</v>
      </c>
      <c r="BN18" s="22">
        <f t="shared" si="5"/>
        <v>0</v>
      </c>
      <c r="BO18" s="22">
        <f t="shared" si="5"/>
        <v>0</v>
      </c>
      <c r="BP18" s="22">
        <f t="shared" si="6"/>
        <v>0</v>
      </c>
      <c r="BQ18" s="22">
        <f t="shared" si="6"/>
        <v>0</v>
      </c>
      <c r="BR18" s="22">
        <f t="shared" si="6"/>
        <v>0</v>
      </c>
      <c r="BS18" s="22">
        <f t="shared" si="6"/>
        <v>13000000</v>
      </c>
      <c r="BT18" s="23">
        <f t="shared" si="7"/>
        <v>0.52275974178407492</v>
      </c>
      <c r="BU18" s="22">
        <f t="shared" si="8"/>
        <v>27936485</v>
      </c>
      <c r="BV18" s="22"/>
      <c r="BW18" s="22">
        <f>+'[8]ABRIL 2017'!$H$1134</f>
        <v>23359120</v>
      </c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>
        <f>+'[5]AGOSTO 2017'!$H$2549</f>
        <v>4577365</v>
      </c>
      <c r="CJ18" s="22"/>
      <c r="CK18" s="22"/>
      <c r="CL18" s="22"/>
      <c r="CM18" s="22"/>
      <c r="CN18" s="22"/>
      <c r="CO18" s="22"/>
      <c r="CP18" s="23">
        <f t="shared" si="9"/>
        <v>0.47724025821592508</v>
      </c>
      <c r="CQ18" s="22">
        <f t="shared" si="10"/>
        <v>25503906</v>
      </c>
      <c r="CR18" s="22">
        <f t="shared" si="13"/>
        <v>0</v>
      </c>
      <c r="CS18" s="22">
        <f t="shared" si="11"/>
        <v>1640880</v>
      </c>
      <c r="CT18" s="22">
        <f t="shared" si="11"/>
        <v>0</v>
      </c>
      <c r="CU18" s="22">
        <f t="shared" si="11"/>
        <v>0</v>
      </c>
      <c r="CV18" s="22">
        <f t="shared" si="11"/>
        <v>0</v>
      </c>
      <c r="CW18" s="22">
        <f t="shared" si="11"/>
        <v>0</v>
      </c>
      <c r="CX18" s="22">
        <f t="shared" si="11"/>
        <v>0</v>
      </c>
      <c r="CY18" s="22">
        <f t="shared" si="11"/>
        <v>0</v>
      </c>
      <c r="CZ18" s="22">
        <f t="shared" si="11"/>
        <v>0</v>
      </c>
      <c r="DA18" s="22">
        <f t="shared" si="11"/>
        <v>0</v>
      </c>
      <c r="DB18" s="22">
        <f t="shared" si="11"/>
        <v>0</v>
      </c>
      <c r="DC18" s="22">
        <f t="shared" si="11"/>
        <v>0</v>
      </c>
      <c r="DD18" s="22">
        <f t="shared" si="11"/>
        <v>0</v>
      </c>
      <c r="DE18" s="22">
        <f t="shared" si="11"/>
        <v>2863026</v>
      </c>
      <c r="DF18" s="22">
        <f t="shared" si="11"/>
        <v>0</v>
      </c>
      <c r="DG18" s="22">
        <f t="shared" si="11"/>
        <v>0</v>
      </c>
      <c r="DH18" s="22">
        <f t="shared" si="11"/>
        <v>0</v>
      </c>
      <c r="DI18" s="22">
        <f t="shared" si="12"/>
        <v>0</v>
      </c>
      <c r="DJ18" s="22">
        <f t="shared" si="12"/>
        <v>0</v>
      </c>
      <c r="DK18" s="22">
        <f t="shared" si="12"/>
        <v>21000000</v>
      </c>
      <c r="DN18" s="26"/>
      <c r="DO18" s="26"/>
      <c r="DP18" s="26"/>
    </row>
    <row r="19" spans="1:121" ht="48" hidden="1" customHeight="1" x14ac:dyDescent="0.25">
      <c r="A19" s="27"/>
      <c r="B19" s="168" t="s">
        <v>89</v>
      </c>
      <c r="C19" s="30" t="s">
        <v>90</v>
      </c>
      <c r="D19" s="19" t="s">
        <v>91</v>
      </c>
      <c r="E19" s="20">
        <v>510</v>
      </c>
      <c r="F19" s="21"/>
      <c r="G19" s="22">
        <f t="shared" si="0"/>
        <v>6000000</v>
      </c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>
        <v>6000000</v>
      </c>
      <c r="W19" s="22"/>
      <c r="X19" s="22"/>
      <c r="Y19" s="22"/>
      <c r="Z19" s="22"/>
      <c r="AA19" s="22"/>
      <c r="AB19" s="23">
        <f t="shared" si="1"/>
        <v>0</v>
      </c>
      <c r="AC19" s="22">
        <f t="shared" si="2"/>
        <v>0</v>
      </c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3">
        <f t="shared" si="3"/>
        <v>1</v>
      </c>
      <c r="AY19" s="22">
        <f t="shared" si="14"/>
        <v>6000000</v>
      </c>
      <c r="AZ19" s="22">
        <f t="shared" si="5"/>
        <v>0</v>
      </c>
      <c r="BA19" s="22">
        <f t="shared" si="5"/>
        <v>0</v>
      </c>
      <c r="BB19" s="22">
        <f t="shared" si="5"/>
        <v>0</v>
      </c>
      <c r="BC19" s="22">
        <f t="shared" si="5"/>
        <v>0</v>
      </c>
      <c r="BD19" s="22">
        <f t="shared" si="5"/>
        <v>0</v>
      </c>
      <c r="BE19" s="22">
        <f t="shared" si="5"/>
        <v>0</v>
      </c>
      <c r="BF19" s="22">
        <f t="shared" si="5"/>
        <v>0</v>
      </c>
      <c r="BG19" s="22">
        <f t="shared" si="5"/>
        <v>0</v>
      </c>
      <c r="BH19" s="22">
        <f t="shared" si="5"/>
        <v>0</v>
      </c>
      <c r="BI19" s="22">
        <f t="shared" si="5"/>
        <v>0</v>
      </c>
      <c r="BJ19" s="22">
        <f t="shared" si="5"/>
        <v>0</v>
      </c>
      <c r="BK19" s="22">
        <f t="shared" si="5"/>
        <v>0</v>
      </c>
      <c r="BL19" s="22">
        <f t="shared" si="5"/>
        <v>0</v>
      </c>
      <c r="BM19" s="22">
        <f t="shared" si="5"/>
        <v>0</v>
      </c>
      <c r="BN19" s="22">
        <f t="shared" si="5"/>
        <v>6000000</v>
      </c>
      <c r="BO19" s="22">
        <f t="shared" ref="AZ19:BO23" si="15">+W19-AS19</f>
        <v>0</v>
      </c>
      <c r="BP19" s="22">
        <f t="shared" si="6"/>
        <v>0</v>
      </c>
      <c r="BQ19" s="22">
        <f t="shared" si="6"/>
        <v>0</v>
      </c>
      <c r="BR19" s="22">
        <f t="shared" si="6"/>
        <v>0</v>
      </c>
      <c r="BS19" s="22">
        <f t="shared" si="6"/>
        <v>0</v>
      </c>
      <c r="BT19" s="23">
        <f t="shared" si="7"/>
        <v>0</v>
      </c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3">
        <f t="shared" si="9"/>
        <v>1</v>
      </c>
      <c r="CQ19" s="22">
        <f t="shared" si="10"/>
        <v>6000000</v>
      </c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>
        <f t="shared" si="11"/>
        <v>6000000</v>
      </c>
      <c r="DG19" s="22"/>
      <c r="DH19" s="22"/>
      <c r="DI19" s="22"/>
      <c r="DJ19" s="22"/>
      <c r="DK19" s="22"/>
      <c r="DM19" s="26"/>
      <c r="DN19" s="26"/>
      <c r="DO19" s="26"/>
      <c r="DP19" s="26"/>
      <c r="DQ19" s="26"/>
    </row>
    <row r="20" spans="1:121" ht="66.75" hidden="1" customHeight="1" x14ac:dyDescent="0.25">
      <c r="A20" s="27"/>
      <c r="B20" s="169"/>
      <c r="C20" s="30" t="s">
        <v>92</v>
      </c>
      <c r="D20" s="19" t="s">
        <v>93</v>
      </c>
      <c r="E20" s="20">
        <v>510</v>
      </c>
      <c r="F20" s="21"/>
      <c r="G20" s="22">
        <f t="shared" si="0"/>
        <v>2000000</v>
      </c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>
        <v>2000000</v>
      </c>
      <c r="W20" s="22"/>
      <c r="X20" s="22"/>
      <c r="Y20" s="22"/>
      <c r="Z20" s="22"/>
      <c r="AA20" s="22"/>
      <c r="AB20" s="23">
        <f t="shared" si="1"/>
        <v>0</v>
      </c>
      <c r="AC20" s="22">
        <f t="shared" si="2"/>
        <v>0</v>
      </c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3">
        <f t="shared" si="3"/>
        <v>1</v>
      </c>
      <c r="AY20" s="22">
        <f t="shared" si="14"/>
        <v>2000000</v>
      </c>
      <c r="AZ20" s="22">
        <f t="shared" si="15"/>
        <v>0</v>
      </c>
      <c r="BA20" s="22">
        <f t="shared" si="15"/>
        <v>0</v>
      </c>
      <c r="BB20" s="22">
        <f t="shared" si="15"/>
        <v>0</v>
      </c>
      <c r="BC20" s="22">
        <f t="shared" si="15"/>
        <v>0</v>
      </c>
      <c r="BD20" s="22">
        <f t="shared" si="15"/>
        <v>0</v>
      </c>
      <c r="BE20" s="22">
        <f t="shared" si="15"/>
        <v>0</v>
      </c>
      <c r="BF20" s="22">
        <f t="shared" si="15"/>
        <v>0</v>
      </c>
      <c r="BG20" s="22">
        <f t="shared" si="15"/>
        <v>0</v>
      </c>
      <c r="BH20" s="22">
        <f t="shared" si="15"/>
        <v>0</v>
      </c>
      <c r="BI20" s="22">
        <f t="shared" si="15"/>
        <v>0</v>
      </c>
      <c r="BJ20" s="22">
        <f t="shared" si="15"/>
        <v>0</v>
      </c>
      <c r="BK20" s="22">
        <f t="shared" si="15"/>
        <v>0</v>
      </c>
      <c r="BL20" s="22">
        <f t="shared" si="15"/>
        <v>0</v>
      </c>
      <c r="BM20" s="22">
        <f t="shared" si="15"/>
        <v>0</v>
      </c>
      <c r="BN20" s="22">
        <f t="shared" si="15"/>
        <v>2000000</v>
      </c>
      <c r="BO20" s="22">
        <f t="shared" si="15"/>
        <v>0</v>
      </c>
      <c r="BP20" s="22">
        <f t="shared" si="6"/>
        <v>0</v>
      </c>
      <c r="BQ20" s="22">
        <f t="shared" si="6"/>
        <v>0</v>
      </c>
      <c r="BR20" s="22">
        <f t="shared" si="6"/>
        <v>0</v>
      </c>
      <c r="BS20" s="22">
        <f t="shared" si="6"/>
        <v>0</v>
      </c>
      <c r="BT20" s="23">
        <f t="shared" si="7"/>
        <v>0</v>
      </c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3">
        <f t="shared" si="9"/>
        <v>1</v>
      </c>
      <c r="CQ20" s="22">
        <f t="shared" si="10"/>
        <v>2000000</v>
      </c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>
        <f t="shared" si="11"/>
        <v>2000000</v>
      </c>
      <c r="DG20" s="22"/>
      <c r="DH20" s="22"/>
      <c r="DI20" s="22"/>
      <c r="DJ20" s="22"/>
      <c r="DK20" s="22"/>
      <c r="DN20" s="26"/>
      <c r="DO20" s="26"/>
      <c r="DP20" s="26"/>
    </row>
    <row r="21" spans="1:121" ht="36.75" hidden="1" customHeight="1" x14ac:dyDescent="0.25">
      <c r="A21" s="27"/>
      <c r="B21" s="181" t="s">
        <v>94</v>
      </c>
      <c r="C21" s="18" t="s">
        <v>95</v>
      </c>
      <c r="D21" s="19" t="s">
        <v>96</v>
      </c>
      <c r="E21" s="20">
        <v>510</v>
      </c>
      <c r="F21" s="21" t="s">
        <v>56</v>
      </c>
      <c r="G21" s="22">
        <f t="shared" si="0"/>
        <v>12000000</v>
      </c>
      <c r="H21" s="22"/>
      <c r="I21" s="22">
        <v>12000000</v>
      </c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3">
        <f t="shared" si="1"/>
        <v>1</v>
      </c>
      <c r="AC21" s="22">
        <f t="shared" si="2"/>
        <v>12000000</v>
      </c>
      <c r="AD21" s="22"/>
      <c r="AE21" s="22">
        <f>+'[2]FEBRERO 2017'!$K$964</f>
        <v>12000000</v>
      </c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3">
        <f t="shared" si="3"/>
        <v>0</v>
      </c>
      <c r="AY21" s="22">
        <f t="shared" si="14"/>
        <v>0</v>
      </c>
      <c r="AZ21" s="22">
        <f t="shared" si="15"/>
        <v>0</v>
      </c>
      <c r="BA21" s="22">
        <f t="shared" si="15"/>
        <v>0</v>
      </c>
      <c r="BB21" s="22">
        <f t="shared" si="15"/>
        <v>0</v>
      </c>
      <c r="BC21" s="22">
        <f t="shared" si="15"/>
        <v>0</v>
      </c>
      <c r="BD21" s="22">
        <f t="shared" si="15"/>
        <v>0</v>
      </c>
      <c r="BE21" s="22">
        <f t="shared" si="15"/>
        <v>0</v>
      </c>
      <c r="BF21" s="22">
        <f t="shared" si="15"/>
        <v>0</v>
      </c>
      <c r="BG21" s="22">
        <f t="shared" si="15"/>
        <v>0</v>
      </c>
      <c r="BH21" s="22">
        <f t="shared" si="15"/>
        <v>0</v>
      </c>
      <c r="BI21" s="22">
        <f t="shared" si="15"/>
        <v>0</v>
      </c>
      <c r="BJ21" s="22">
        <f t="shared" si="15"/>
        <v>0</v>
      </c>
      <c r="BK21" s="22">
        <f t="shared" si="15"/>
        <v>0</v>
      </c>
      <c r="BL21" s="22">
        <f t="shared" si="15"/>
        <v>0</v>
      </c>
      <c r="BM21" s="22">
        <f t="shared" si="15"/>
        <v>0</v>
      </c>
      <c r="BN21" s="22">
        <f t="shared" si="15"/>
        <v>0</v>
      </c>
      <c r="BO21" s="22">
        <f t="shared" si="15"/>
        <v>0</v>
      </c>
      <c r="BP21" s="22">
        <f t="shared" si="6"/>
        <v>0</v>
      </c>
      <c r="BQ21" s="22">
        <f t="shared" si="6"/>
        <v>0</v>
      </c>
      <c r="BR21" s="22">
        <f t="shared" si="6"/>
        <v>0</v>
      </c>
      <c r="BS21" s="22">
        <f t="shared" si="6"/>
        <v>0</v>
      </c>
      <c r="BT21" s="23">
        <f t="shared" si="7"/>
        <v>0.89864883333333334</v>
      </c>
      <c r="BU21" s="22">
        <f t="shared" si="8"/>
        <v>10783786</v>
      </c>
      <c r="BV21" s="22"/>
      <c r="BW21" s="22">
        <f>+'[5]AGOSTO 2017'!$H$2577</f>
        <v>10783786</v>
      </c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3">
        <f t="shared" si="9"/>
        <v>0.10135116666666666</v>
      </c>
      <c r="CQ21" s="22">
        <f t="shared" si="10"/>
        <v>1216214</v>
      </c>
      <c r="CR21" s="22">
        <f t="shared" si="13"/>
        <v>0</v>
      </c>
      <c r="CS21" s="22">
        <f t="shared" si="11"/>
        <v>1216214</v>
      </c>
      <c r="CT21" s="22">
        <f t="shared" si="11"/>
        <v>0</v>
      </c>
      <c r="CU21" s="22">
        <f t="shared" si="11"/>
        <v>0</v>
      </c>
      <c r="CV21" s="22">
        <f t="shared" si="11"/>
        <v>0</v>
      </c>
      <c r="CW21" s="22">
        <f t="shared" si="11"/>
        <v>0</v>
      </c>
      <c r="CX21" s="22">
        <f t="shared" si="11"/>
        <v>0</v>
      </c>
      <c r="CY21" s="22">
        <f t="shared" si="11"/>
        <v>0</v>
      </c>
      <c r="CZ21" s="22">
        <f t="shared" si="11"/>
        <v>0</v>
      </c>
      <c r="DA21" s="22">
        <f t="shared" si="11"/>
        <v>0</v>
      </c>
      <c r="DB21" s="22">
        <f t="shared" si="11"/>
        <v>0</v>
      </c>
      <c r="DC21" s="22">
        <f t="shared" si="11"/>
        <v>0</v>
      </c>
      <c r="DD21" s="22">
        <f t="shared" si="11"/>
        <v>0</v>
      </c>
      <c r="DE21" s="22">
        <f t="shared" si="11"/>
        <v>0</v>
      </c>
      <c r="DF21" s="22">
        <f t="shared" si="11"/>
        <v>0</v>
      </c>
      <c r="DG21" s="22">
        <f t="shared" ref="DG21:DH23" si="16">W21-CK21</f>
        <v>0</v>
      </c>
      <c r="DH21" s="22">
        <f t="shared" si="16"/>
        <v>0</v>
      </c>
      <c r="DI21" s="22">
        <f t="shared" si="12"/>
        <v>0</v>
      </c>
      <c r="DJ21" s="22">
        <f t="shared" si="12"/>
        <v>0</v>
      </c>
      <c r="DK21" s="22">
        <f t="shared" si="12"/>
        <v>0</v>
      </c>
      <c r="DN21" s="26"/>
      <c r="DO21" s="26"/>
      <c r="DP21" s="26"/>
    </row>
    <row r="22" spans="1:121" ht="42" hidden="1" customHeight="1" x14ac:dyDescent="0.25">
      <c r="A22" s="37"/>
      <c r="B22" s="183"/>
      <c r="C22" s="18" t="s">
        <v>97</v>
      </c>
      <c r="D22" s="19" t="s">
        <v>98</v>
      </c>
      <c r="E22" s="20">
        <v>510</v>
      </c>
      <c r="F22" s="21" t="s">
        <v>99</v>
      </c>
      <c r="G22" s="22">
        <f t="shared" si="0"/>
        <v>76500000</v>
      </c>
      <c r="H22" s="22"/>
      <c r="I22" s="22">
        <v>38000000</v>
      </c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>
        <v>9000000</v>
      </c>
      <c r="V22" s="22"/>
      <c r="W22" s="22"/>
      <c r="X22" s="22"/>
      <c r="Y22" s="22"/>
      <c r="Z22" s="22"/>
      <c r="AA22" s="22">
        <f>26500000+3000000</f>
        <v>29500000</v>
      </c>
      <c r="AB22" s="23">
        <f t="shared" si="1"/>
        <v>0.934640522875817</v>
      </c>
      <c r="AC22" s="22">
        <f t="shared" si="2"/>
        <v>71500000</v>
      </c>
      <c r="AD22" s="22"/>
      <c r="AE22" s="22">
        <f>+'[1]ENERO 2017'!$K$619</f>
        <v>38000000</v>
      </c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>
        <f>+'[3]JUNIO 2017'!$W$1608</f>
        <v>9000000</v>
      </c>
      <c r="AR22" s="22"/>
      <c r="AS22" s="22"/>
      <c r="AT22" s="22"/>
      <c r="AU22" s="22"/>
      <c r="AV22" s="22"/>
      <c r="AW22" s="22">
        <f>+'[1]ENERO 2017'!$T$619</f>
        <v>24500000</v>
      </c>
      <c r="AX22" s="23">
        <f t="shared" si="3"/>
        <v>6.5359477124182996E-2</v>
      </c>
      <c r="AY22" s="22">
        <f t="shared" si="14"/>
        <v>5000000</v>
      </c>
      <c r="AZ22" s="22">
        <f t="shared" si="15"/>
        <v>0</v>
      </c>
      <c r="BA22" s="22">
        <f t="shared" si="15"/>
        <v>0</v>
      </c>
      <c r="BB22" s="22">
        <f t="shared" si="15"/>
        <v>0</v>
      </c>
      <c r="BC22" s="22">
        <f t="shared" si="15"/>
        <v>0</v>
      </c>
      <c r="BD22" s="22">
        <f t="shared" si="15"/>
        <v>0</v>
      </c>
      <c r="BE22" s="22">
        <f t="shared" si="15"/>
        <v>0</v>
      </c>
      <c r="BF22" s="22">
        <f t="shared" si="15"/>
        <v>0</v>
      </c>
      <c r="BG22" s="22">
        <f t="shared" si="15"/>
        <v>0</v>
      </c>
      <c r="BH22" s="22">
        <f t="shared" si="15"/>
        <v>0</v>
      </c>
      <c r="BI22" s="22">
        <f t="shared" si="15"/>
        <v>0</v>
      </c>
      <c r="BJ22" s="22">
        <f t="shared" si="15"/>
        <v>0</v>
      </c>
      <c r="BK22" s="22">
        <f t="shared" si="15"/>
        <v>0</v>
      </c>
      <c r="BL22" s="22">
        <f t="shared" si="15"/>
        <v>0</v>
      </c>
      <c r="BM22" s="22">
        <f t="shared" si="15"/>
        <v>0</v>
      </c>
      <c r="BN22" s="22">
        <f t="shared" si="15"/>
        <v>0</v>
      </c>
      <c r="BO22" s="22">
        <f t="shared" si="15"/>
        <v>0</v>
      </c>
      <c r="BP22" s="22">
        <f t="shared" si="6"/>
        <v>0</v>
      </c>
      <c r="BQ22" s="22">
        <f t="shared" si="6"/>
        <v>0</v>
      </c>
      <c r="BR22" s="22">
        <f t="shared" si="6"/>
        <v>0</v>
      </c>
      <c r="BS22" s="22">
        <f t="shared" si="6"/>
        <v>5000000</v>
      </c>
      <c r="BT22" s="23">
        <f t="shared" si="7"/>
        <v>0.52216762091503266</v>
      </c>
      <c r="BU22" s="22">
        <f t="shared" si="8"/>
        <v>39945823</v>
      </c>
      <c r="BV22" s="22"/>
      <c r="BW22" s="22">
        <f>+'[6]JULIO 2017'!$H$2246</f>
        <v>37945823</v>
      </c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>
        <f>+'[7]FEBRERO 2017'!$H$806</f>
        <v>2000000</v>
      </c>
      <c r="CP22" s="23">
        <f t="shared" si="9"/>
        <v>0.47783237908496734</v>
      </c>
      <c r="CQ22" s="22">
        <f t="shared" si="10"/>
        <v>36554177</v>
      </c>
      <c r="CR22" s="22">
        <f t="shared" si="13"/>
        <v>0</v>
      </c>
      <c r="CS22" s="22">
        <f t="shared" si="13"/>
        <v>54177</v>
      </c>
      <c r="CT22" s="22">
        <f t="shared" si="13"/>
        <v>0</v>
      </c>
      <c r="CU22" s="22">
        <f t="shared" si="13"/>
        <v>0</v>
      </c>
      <c r="CV22" s="22">
        <f t="shared" si="13"/>
        <v>0</v>
      </c>
      <c r="CW22" s="22">
        <f t="shared" si="13"/>
        <v>0</v>
      </c>
      <c r="CX22" s="22">
        <f t="shared" si="13"/>
        <v>0</v>
      </c>
      <c r="CY22" s="22">
        <f t="shared" si="13"/>
        <v>0</v>
      </c>
      <c r="CZ22" s="22">
        <f t="shared" si="13"/>
        <v>0</v>
      </c>
      <c r="DA22" s="22">
        <f t="shared" si="13"/>
        <v>0</v>
      </c>
      <c r="DB22" s="22">
        <f t="shared" si="13"/>
        <v>0</v>
      </c>
      <c r="DC22" s="22">
        <f t="shared" si="13"/>
        <v>0</v>
      </c>
      <c r="DD22" s="22">
        <f t="shared" si="13"/>
        <v>0</v>
      </c>
      <c r="DE22" s="22">
        <f t="shared" si="13"/>
        <v>9000000</v>
      </c>
      <c r="DF22" s="22">
        <f t="shared" si="13"/>
        <v>0</v>
      </c>
      <c r="DG22" s="22">
        <f t="shared" si="13"/>
        <v>0</v>
      </c>
      <c r="DH22" s="22">
        <f t="shared" si="16"/>
        <v>0</v>
      </c>
      <c r="DI22" s="22">
        <f t="shared" si="12"/>
        <v>0</v>
      </c>
      <c r="DJ22" s="22">
        <f t="shared" si="12"/>
        <v>0</v>
      </c>
      <c r="DK22" s="22">
        <f t="shared" si="12"/>
        <v>27500000</v>
      </c>
      <c r="DN22" s="26"/>
      <c r="DO22" s="26"/>
      <c r="DP22" s="26"/>
    </row>
    <row r="23" spans="1:121" ht="34.5" hidden="1" customHeight="1" x14ac:dyDescent="0.25">
      <c r="A23" s="37"/>
      <c r="B23" s="38"/>
      <c r="C23" s="18" t="s">
        <v>100</v>
      </c>
      <c r="D23" s="39" t="s">
        <v>101</v>
      </c>
      <c r="E23" s="20">
        <v>510</v>
      </c>
      <c r="F23" s="21" t="s">
        <v>56</v>
      </c>
      <c r="G23" s="22">
        <f t="shared" si="0"/>
        <v>20000000</v>
      </c>
      <c r="H23" s="40"/>
      <c r="I23" s="40"/>
      <c r="J23" s="40">
        <v>20000000</v>
      </c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23">
        <f t="shared" si="1"/>
        <v>0.1275085</v>
      </c>
      <c r="AC23" s="22">
        <f t="shared" si="2"/>
        <v>2550170</v>
      </c>
      <c r="AD23" s="40"/>
      <c r="AE23" s="40"/>
      <c r="AF23" s="40">
        <f>+'[7]FEBRERO 2017'!$L$811</f>
        <v>2550170</v>
      </c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23">
        <f t="shared" si="3"/>
        <v>0.87249149999999998</v>
      </c>
      <c r="AY23" s="22">
        <f t="shared" si="14"/>
        <v>17449830</v>
      </c>
      <c r="AZ23" s="22">
        <f t="shared" si="15"/>
        <v>0</v>
      </c>
      <c r="BA23" s="22">
        <f t="shared" si="15"/>
        <v>0</v>
      </c>
      <c r="BB23" s="22">
        <f t="shared" si="15"/>
        <v>17449830</v>
      </c>
      <c r="BC23" s="22">
        <f t="shared" si="15"/>
        <v>0</v>
      </c>
      <c r="BD23" s="22">
        <f t="shared" si="15"/>
        <v>0</v>
      </c>
      <c r="BE23" s="22">
        <f t="shared" si="15"/>
        <v>0</v>
      </c>
      <c r="BF23" s="22">
        <f t="shared" si="15"/>
        <v>0</v>
      </c>
      <c r="BG23" s="22">
        <f t="shared" si="15"/>
        <v>0</v>
      </c>
      <c r="BH23" s="22">
        <f t="shared" si="15"/>
        <v>0</v>
      </c>
      <c r="BI23" s="22">
        <f t="shared" si="15"/>
        <v>0</v>
      </c>
      <c r="BJ23" s="22">
        <f t="shared" si="15"/>
        <v>0</v>
      </c>
      <c r="BK23" s="22">
        <f t="shared" si="15"/>
        <v>0</v>
      </c>
      <c r="BL23" s="22">
        <f t="shared" si="15"/>
        <v>0</v>
      </c>
      <c r="BM23" s="22">
        <f t="shared" si="15"/>
        <v>0</v>
      </c>
      <c r="BN23" s="22">
        <f t="shared" si="15"/>
        <v>0</v>
      </c>
      <c r="BO23" s="22">
        <f t="shared" si="15"/>
        <v>0</v>
      </c>
      <c r="BP23" s="22">
        <f t="shared" si="6"/>
        <v>0</v>
      </c>
      <c r="BQ23" s="22">
        <f t="shared" si="6"/>
        <v>0</v>
      </c>
      <c r="BR23" s="22">
        <f t="shared" si="6"/>
        <v>0</v>
      </c>
      <c r="BS23" s="22">
        <f t="shared" si="6"/>
        <v>0</v>
      </c>
      <c r="BT23" s="23">
        <f t="shared" si="7"/>
        <v>0.1275085</v>
      </c>
      <c r="BU23" s="22">
        <f t="shared" si="8"/>
        <v>2550170</v>
      </c>
      <c r="BV23" s="40"/>
      <c r="BW23" s="40"/>
      <c r="BX23" s="40">
        <f>+'[7]FEBRERO 2017'!$H$809</f>
        <v>2550170</v>
      </c>
      <c r="BY23" s="40"/>
      <c r="BZ23" s="40"/>
      <c r="CA23" s="40"/>
      <c r="CB23" s="40"/>
      <c r="CC23" s="40"/>
      <c r="CD23" s="40"/>
      <c r="CE23" s="40"/>
      <c r="CF23" s="40"/>
      <c r="CG23" s="40"/>
      <c r="CH23" s="40"/>
      <c r="CI23" s="40"/>
      <c r="CJ23" s="40"/>
      <c r="CK23" s="40"/>
      <c r="CL23" s="40"/>
      <c r="CM23" s="40"/>
      <c r="CN23" s="40"/>
      <c r="CO23" s="40"/>
      <c r="CP23" s="23">
        <f t="shared" si="9"/>
        <v>0.87249149999999998</v>
      </c>
      <c r="CQ23" s="22">
        <f t="shared" si="10"/>
        <v>17449830</v>
      </c>
      <c r="CR23" s="22">
        <f t="shared" si="13"/>
        <v>0</v>
      </c>
      <c r="CS23" s="22">
        <f t="shared" si="13"/>
        <v>0</v>
      </c>
      <c r="CT23" s="22">
        <f t="shared" si="13"/>
        <v>17449830</v>
      </c>
      <c r="CU23" s="22">
        <f t="shared" si="13"/>
        <v>0</v>
      </c>
      <c r="CV23" s="22">
        <f t="shared" si="13"/>
        <v>0</v>
      </c>
      <c r="CW23" s="22">
        <f t="shared" si="13"/>
        <v>0</v>
      </c>
      <c r="CX23" s="22">
        <f t="shared" si="13"/>
        <v>0</v>
      </c>
      <c r="CY23" s="22">
        <f t="shared" si="13"/>
        <v>0</v>
      </c>
      <c r="CZ23" s="22">
        <f t="shared" si="13"/>
        <v>0</v>
      </c>
      <c r="DA23" s="22">
        <f t="shared" si="13"/>
        <v>0</v>
      </c>
      <c r="DB23" s="22">
        <f t="shared" si="13"/>
        <v>0</v>
      </c>
      <c r="DC23" s="22">
        <f t="shared" si="13"/>
        <v>0</v>
      </c>
      <c r="DD23" s="22">
        <f t="shared" si="13"/>
        <v>0</v>
      </c>
      <c r="DE23" s="22">
        <f t="shared" si="13"/>
        <v>0</v>
      </c>
      <c r="DF23" s="22">
        <f t="shared" si="13"/>
        <v>0</v>
      </c>
      <c r="DG23" s="22">
        <f t="shared" si="13"/>
        <v>0</v>
      </c>
      <c r="DH23" s="22">
        <f t="shared" si="16"/>
        <v>0</v>
      </c>
      <c r="DI23" s="22">
        <f t="shared" si="12"/>
        <v>0</v>
      </c>
      <c r="DJ23" s="22">
        <f t="shared" si="12"/>
        <v>0</v>
      </c>
      <c r="DK23" s="22">
        <f t="shared" si="12"/>
        <v>0</v>
      </c>
      <c r="DN23" s="26"/>
      <c r="DO23" s="26"/>
      <c r="DP23" s="26"/>
    </row>
    <row r="24" spans="1:121" s="47" customFormat="1" ht="17.25" customHeight="1" thickBot="1" x14ac:dyDescent="0.3">
      <c r="A24" s="41"/>
      <c r="B24" s="230" t="s">
        <v>371</v>
      </c>
      <c r="C24" s="231"/>
      <c r="D24" s="231"/>
      <c r="E24" s="232"/>
      <c r="F24" s="42"/>
      <c r="G24" s="43">
        <f t="shared" ref="G24:AA24" si="17">SUM(G4:G23)</f>
        <v>1816258531</v>
      </c>
      <c r="H24" s="43">
        <f t="shared" si="17"/>
        <v>0</v>
      </c>
      <c r="I24" s="43">
        <f t="shared" si="17"/>
        <v>770000000</v>
      </c>
      <c r="J24" s="43">
        <f t="shared" si="17"/>
        <v>250000000</v>
      </c>
      <c r="K24" s="43">
        <f t="shared" si="17"/>
        <v>258269543</v>
      </c>
      <c r="L24" s="43">
        <f t="shared" si="17"/>
        <v>0</v>
      </c>
      <c r="M24" s="43">
        <f t="shared" si="17"/>
        <v>0</v>
      </c>
      <c r="N24" s="43">
        <f t="shared" si="17"/>
        <v>0</v>
      </c>
      <c r="O24" s="43">
        <f t="shared" si="17"/>
        <v>0</v>
      </c>
      <c r="P24" s="43">
        <f t="shared" si="17"/>
        <v>0</v>
      </c>
      <c r="Q24" s="43">
        <f t="shared" si="17"/>
        <v>0</v>
      </c>
      <c r="R24" s="43">
        <f t="shared" si="17"/>
        <v>0</v>
      </c>
      <c r="S24" s="43">
        <f t="shared" si="17"/>
        <v>0</v>
      </c>
      <c r="T24" s="43">
        <f t="shared" si="17"/>
        <v>0</v>
      </c>
      <c r="U24" s="43">
        <f t="shared" si="17"/>
        <v>278034610</v>
      </c>
      <c r="V24" s="43">
        <f t="shared" si="17"/>
        <v>8000000</v>
      </c>
      <c r="W24" s="43">
        <f t="shared" si="17"/>
        <v>0</v>
      </c>
      <c r="X24" s="43">
        <f t="shared" si="17"/>
        <v>0</v>
      </c>
      <c r="Y24" s="43">
        <f t="shared" si="17"/>
        <v>0</v>
      </c>
      <c r="Z24" s="43">
        <f t="shared" si="17"/>
        <v>0</v>
      </c>
      <c r="AA24" s="43">
        <f t="shared" si="17"/>
        <v>251954378</v>
      </c>
      <c r="AB24" s="44">
        <f t="shared" si="1"/>
        <v>0.85399230920391478</v>
      </c>
      <c r="AC24" s="45">
        <f t="shared" ref="AC24:AW24" si="18">SUM(AC4:AC23)</f>
        <v>1551070817</v>
      </c>
      <c r="AD24" s="45">
        <f t="shared" si="18"/>
        <v>0</v>
      </c>
      <c r="AE24" s="45">
        <f t="shared" si="18"/>
        <v>693958851</v>
      </c>
      <c r="AF24" s="45">
        <f t="shared" si="18"/>
        <v>192366571</v>
      </c>
      <c r="AG24" s="45">
        <f t="shared" si="18"/>
        <v>215532106</v>
      </c>
      <c r="AH24" s="45">
        <f t="shared" si="18"/>
        <v>0</v>
      </c>
      <c r="AI24" s="45">
        <f t="shared" si="18"/>
        <v>0</v>
      </c>
      <c r="AJ24" s="45">
        <f t="shared" si="18"/>
        <v>0</v>
      </c>
      <c r="AK24" s="45">
        <f t="shared" si="18"/>
        <v>0</v>
      </c>
      <c r="AL24" s="45">
        <f t="shared" si="18"/>
        <v>0</v>
      </c>
      <c r="AM24" s="45">
        <f t="shared" si="18"/>
        <v>0</v>
      </c>
      <c r="AN24" s="45">
        <f t="shared" si="18"/>
        <v>0</v>
      </c>
      <c r="AO24" s="45">
        <f t="shared" si="18"/>
        <v>0</v>
      </c>
      <c r="AP24" s="45">
        <f t="shared" si="18"/>
        <v>0</v>
      </c>
      <c r="AQ24" s="45">
        <f t="shared" si="18"/>
        <v>278034610</v>
      </c>
      <c r="AR24" s="45">
        <f t="shared" si="18"/>
        <v>0</v>
      </c>
      <c r="AS24" s="45">
        <f t="shared" si="18"/>
        <v>0</v>
      </c>
      <c r="AT24" s="45">
        <f t="shared" si="18"/>
        <v>0</v>
      </c>
      <c r="AU24" s="45">
        <f t="shared" si="18"/>
        <v>0</v>
      </c>
      <c r="AV24" s="45">
        <f t="shared" si="18"/>
        <v>0</v>
      </c>
      <c r="AW24" s="45">
        <f t="shared" si="18"/>
        <v>171178679</v>
      </c>
      <c r="AX24" s="46">
        <f t="shared" si="3"/>
        <v>0.14600769079608522</v>
      </c>
      <c r="AY24" s="45">
        <f t="shared" ref="AY24:BS24" si="19">SUM(AY4:AY23)</f>
        <v>265187714</v>
      </c>
      <c r="AZ24" s="45">
        <f t="shared" si="19"/>
        <v>0</v>
      </c>
      <c r="BA24" s="45">
        <f t="shared" si="19"/>
        <v>76041149</v>
      </c>
      <c r="BB24" s="45">
        <f t="shared" si="19"/>
        <v>57633429</v>
      </c>
      <c r="BC24" s="45">
        <f>SUM(BC4:BC23)</f>
        <v>42737437</v>
      </c>
      <c r="BD24" s="45">
        <f t="shared" si="19"/>
        <v>0</v>
      </c>
      <c r="BE24" s="45">
        <f t="shared" si="19"/>
        <v>0</v>
      </c>
      <c r="BF24" s="45">
        <f t="shared" si="19"/>
        <v>0</v>
      </c>
      <c r="BG24" s="45">
        <f t="shared" si="19"/>
        <v>0</v>
      </c>
      <c r="BH24" s="45">
        <f t="shared" si="19"/>
        <v>0</v>
      </c>
      <c r="BI24" s="45">
        <f t="shared" si="19"/>
        <v>0</v>
      </c>
      <c r="BJ24" s="45">
        <f t="shared" si="19"/>
        <v>0</v>
      </c>
      <c r="BK24" s="45">
        <f t="shared" si="19"/>
        <v>0</v>
      </c>
      <c r="BL24" s="45">
        <f t="shared" si="19"/>
        <v>0</v>
      </c>
      <c r="BM24" s="45">
        <f t="shared" si="19"/>
        <v>0</v>
      </c>
      <c r="BN24" s="45">
        <f t="shared" si="19"/>
        <v>8000000</v>
      </c>
      <c r="BO24" s="45">
        <f t="shared" si="19"/>
        <v>0</v>
      </c>
      <c r="BP24" s="45">
        <f t="shared" si="19"/>
        <v>0</v>
      </c>
      <c r="BQ24" s="45">
        <f t="shared" si="19"/>
        <v>0</v>
      </c>
      <c r="BR24" s="45">
        <f t="shared" si="19"/>
        <v>0</v>
      </c>
      <c r="BS24" s="45">
        <f t="shared" si="19"/>
        <v>80775699</v>
      </c>
      <c r="BT24" s="46">
        <f t="shared" si="7"/>
        <v>0.59083775777733705</v>
      </c>
      <c r="BU24" s="45">
        <f t="shared" ref="BU24:CO24" si="20">SUM(BU4:BU23)</f>
        <v>1073114118</v>
      </c>
      <c r="BV24" s="45">
        <f t="shared" si="20"/>
        <v>0</v>
      </c>
      <c r="BW24" s="45">
        <f t="shared" si="20"/>
        <v>496962226</v>
      </c>
      <c r="BX24" s="45">
        <f t="shared" si="20"/>
        <v>102837040</v>
      </c>
      <c r="BY24" s="45">
        <f t="shared" si="20"/>
        <v>186040541</v>
      </c>
      <c r="BZ24" s="45">
        <f t="shared" si="20"/>
        <v>0</v>
      </c>
      <c r="CA24" s="45">
        <f t="shared" si="20"/>
        <v>0</v>
      </c>
      <c r="CB24" s="45">
        <f t="shared" si="20"/>
        <v>0</v>
      </c>
      <c r="CC24" s="45">
        <f t="shared" si="20"/>
        <v>0</v>
      </c>
      <c r="CD24" s="45">
        <f t="shared" si="20"/>
        <v>0</v>
      </c>
      <c r="CE24" s="45">
        <f t="shared" si="20"/>
        <v>0</v>
      </c>
      <c r="CF24" s="45">
        <f t="shared" si="20"/>
        <v>0</v>
      </c>
      <c r="CG24" s="45">
        <f t="shared" si="20"/>
        <v>0</v>
      </c>
      <c r="CH24" s="45">
        <f t="shared" si="20"/>
        <v>0</v>
      </c>
      <c r="CI24" s="45">
        <f t="shared" si="20"/>
        <v>183990671</v>
      </c>
      <c r="CJ24" s="45">
        <f t="shared" si="20"/>
        <v>0</v>
      </c>
      <c r="CK24" s="45">
        <f t="shared" si="20"/>
        <v>0</v>
      </c>
      <c r="CL24" s="45">
        <f t="shared" si="20"/>
        <v>0</v>
      </c>
      <c r="CM24" s="45">
        <f t="shared" si="20"/>
        <v>0</v>
      </c>
      <c r="CN24" s="45">
        <f t="shared" si="20"/>
        <v>0</v>
      </c>
      <c r="CO24" s="45">
        <f t="shared" si="20"/>
        <v>103283640</v>
      </c>
      <c r="CP24" s="46">
        <f t="shared" si="9"/>
        <v>0.40916224222266295</v>
      </c>
      <c r="CQ24" s="45">
        <f t="shared" ref="CQ24:DK24" si="21">SUM(CQ4:CQ23)</f>
        <v>743144413</v>
      </c>
      <c r="CR24" s="45">
        <f t="shared" si="21"/>
        <v>0</v>
      </c>
      <c r="CS24" s="45">
        <f t="shared" si="21"/>
        <v>273037774</v>
      </c>
      <c r="CT24" s="45">
        <f t="shared" si="21"/>
        <v>147162960</v>
      </c>
      <c r="CU24" s="45">
        <f t="shared" si="21"/>
        <v>72229002</v>
      </c>
      <c r="CV24" s="45">
        <f t="shared" si="21"/>
        <v>0</v>
      </c>
      <c r="CW24" s="45">
        <f t="shared" si="21"/>
        <v>0</v>
      </c>
      <c r="CX24" s="45">
        <f t="shared" si="21"/>
        <v>0</v>
      </c>
      <c r="CY24" s="45">
        <f t="shared" si="21"/>
        <v>0</v>
      </c>
      <c r="CZ24" s="45">
        <f t="shared" si="21"/>
        <v>0</v>
      </c>
      <c r="DA24" s="45">
        <f t="shared" si="21"/>
        <v>0</v>
      </c>
      <c r="DB24" s="45">
        <f t="shared" si="21"/>
        <v>0</v>
      </c>
      <c r="DC24" s="45">
        <f t="shared" si="21"/>
        <v>0</v>
      </c>
      <c r="DD24" s="45">
        <f t="shared" si="21"/>
        <v>0</v>
      </c>
      <c r="DE24" s="45">
        <f t="shared" si="21"/>
        <v>94043939</v>
      </c>
      <c r="DF24" s="45">
        <f t="shared" si="21"/>
        <v>8000000</v>
      </c>
      <c r="DG24" s="45">
        <f t="shared" si="21"/>
        <v>0</v>
      </c>
      <c r="DH24" s="45">
        <f t="shared" si="21"/>
        <v>0</v>
      </c>
      <c r="DI24" s="45">
        <f t="shared" si="21"/>
        <v>0</v>
      </c>
      <c r="DJ24" s="45">
        <f t="shared" si="21"/>
        <v>0</v>
      </c>
      <c r="DK24" s="45">
        <f t="shared" si="21"/>
        <v>148670738</v>
      </c>
      <c r="DN24" s="150" t="s">
        <v>378</v>
      </c>
      <c r="DO24" s="26">
        <v>1816258531</v>
      </c>
      <c r="DP24" s="26">
        <v>1073114118</v>
      </c>
      <c r="DQ24" s="151">
        <f>+BT24</f>
        <v>0.59083775777733705</v>
      </c>
    </row>
    <row r="25" spans="1:121" ht="35.25" hidden="1" customHeight="1" thickTop="1" x14ac:dyDescent="0.25">
      <c r="A25" s="17" t="s">
        <v>103</v>
      </c>
      <c r="B25" s="188" t="s">
        <v>104</v>
      </c>
      <c r="C25" s="18" t="s">
        <v>105</v>
      </c>
      <c r="D25" s="19" t="s">
        <v>106</v>
      </c>
      <c r="E25" s="20">
        <v>410</v>
      </c>
      <c r="F25" s="48" t="s">
        <v>107</v>
      </c>
      <c r="G25" s="22">
        <f t="shared" ref="G25:G56" si="22">SUM(H25:AA25)</f>
        <v>150000000</v>
      </c>
      <c r="H25" s="49"/>
      <c r="I25" s="22"/>
      <c r="J25" s="22">
        <v>150000000</v>
      </c>
      <c r="K25" s="22"/>
      <c r="L25" s="22"/>
      <c r="M25" s="49"/>
      <c r="N25" s="49"/>
      <c r="O25" s="50"/>
      <c r="P25" s="50"/>
      <c r="Q25" s="50"/>
      <c r="R25" s="51"/>
      <c r="S25" s="50"/>
      <c r="T25" s="50"/>
      <c r="U25" s="50"/>
      <c r="V25" s="50"/>
      <c r="W25" s="50"/>
      <c r="X25" s="50"/>
      <c r="Y25" s="50"/>
      <c r="Z25" s="50"/>
      <c r="AA25" s="50"/>
      <c r="AB25" s="52">
        <f t="shared" si="1"/>
        <v>0.86546586666666669</v>
      </c>
      <c r="AC25" s="22">
        <f t="shared" ref="AC25:AC56" si="23">SUM(AD25:AW25)</f>
        <v>129819880</v>
      </c>
      <c r="AD25" s="22"/>
      <c r="AE25" s="22"/>
      <c r="AF25" s="22">
        <f>+'[4]MAYO 2017'!$L$566</f>
        <v>129819880</v>
      </c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3">
        <f t="shared" si="3"/>
        <v>0.13453413333333331</v>
      </c>
      <c r="AY25" s="22">
        <f t="shared" ref="AY25:AY56" si="24">SUM(AZ25:BS25)</f>
        <v>20180120</v>
      </c>
      <c r="AZ25" s="22">
        <f t="shared" ref="AZ25:BO40" si="25">+H25-AD25</f>
        <v>0</v>
      </c>
      <c r="BA25" s="22">
        <f t="shared" si="25"/>
        <v>0</v>
      </c>
      <c r="BB25" s="22">
        <f t="shared" si="25"/>
        <v>20180120</v>
      </c>
      <c r="BC25" s="22">
        <f t="shared" si="25"/>
        <v>0</v>
      </c>
      <c r="BD25" s="22">
        <f t="shared" si="25"/>
        <v>0</v>
      </c>
      <c r="BE25" s="22">
        <f t="shared" si="25"/>
        <v>0</v>
      </c>
      <c r="BF25" s="22">
        <f t="shared" si="25"/>
        <v>0</v>
      </c>
      <c r="BG25" s="22">
        <f t="shared" si="25"/>
        <v>0</v>
      </c>
      <c r="BH25" s="22">
        <f t="shared" si="25"/>
        <v>0</v>
      </c>
      <c r="BI25" s="22">
        <f t="shared" si="25"/>
        <v>0</v>
      </c>
      <c r="BJ25" s="22">
        <f t="shared" si="25"/>
        <v>0</v>
      </c>
      <c r="BK25" s="22">
        <f t="shared" si="25"/>
        <v>0</v>
      </c>
      <c r="BL25" s="22">
        <f t="shared" si="25"/>
        <v>0</v>
      </c>
      <c r="BM25" s="22">
        <f t="shared" si="25"/>
        <v>0</v>
      </c>
      <c r="BN25" s="22">
        <f t="shared" si="25"/>
        <v>0</v>
      </c>
      <c r="BO25" s="22">
        <f t="shared" si="25"/>
        <v>0</v>
      </c>
      <c r="BP25" s="22">
        <f t="shared" ref="BP25:BS56" si="26">+X25-AT25</f>
        <v>0</v>
      </c>
      <c r="BQ25" s="22">
        <f t="shared" si="26"/>
        <v>0</v>
      </c>
      <c r="BR25" s="22">
        <f t="shared" si="26"/>
        <v>0</v>
      </c>
      <c r="BS25" s="22">
        <f t="shared" si="26"/>
        <v>0</v>
      </c>
      <c r="BT25" s="23">
        <f t="shared" si="7"/>
        <v>0.86546586666666669</v>
      </c>
      <c r="BU25" s="22">
        <f t="shared" ref="BU25:BU56" si="27">SUM(BV25:CO25)</f>
        <v>129819880</v>
      </c>
      <c r="BV25" s="22"/>
      <c r="BW25" s="22"/>
      <c r="BX25" s="22">
        <f>+'[3]JUNIO 2017'!$H$655</f>
        <v>129819880</v>
      </c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3">
        <f t="shared" si="9"/>
        <v>0.13453413333333331</v>
      </c>
      <c r="CQ25" s="22">
        <f t="shared" ref="CQ25:CQ56" si="28">SUM(CR25:DK25)</f>
        <v>20180120</v>
      </c>
      <c r="CR25" s="22">
        <f>H25-BV25</f>
        <v>0</v>
      </c>
      <c r="CS25" s="22">
        <f t="shared" ref="CS25:DH40" si="29">I25-BW25</f>
        <v>0</v>
      </c>
      <c r="CT25" s="22">
        <f t="shared" si="29"/>
        <v>20180120</v>
      </c>
      <c r="CU25" s="22">
        <f t="shared" si="29"/>
        <v>0</v>
      </c>
      <c r="CV25" s="22">
        <f t="shared" si="29"/>
        <v>0</v>
      </c>
      <c r="CW25" s="22">
        <f t="shared" si="29"/>
        <v>0</v>
      </c>
      <c r="CX25" s="22">
        <f t="shared" si="29"/>
        <v>0</v>
      </c>
      <c r="CY25" s="22">
        <f t="shared" si="29"/>
        <v>0</v>
      </c>
      <c r="CZ25" s="22">
        <f t="shared" si="29"/>
        <v>0</v>
      </c>
      <c r="DA25" s="22">
        <f t="shared" si="29"/>
        <v>0</v>
      </c>
      <c r="DB25" s="22">
        <f t="shared" si="29"/>
        <v>0</v>
      </c>
      <c r="DC25" s="22">
        <f t="shared" si="29"/>
        <v>0</v>
      </c>
      <c r="DD25" s="22">
        <f t="shared" si="29"/>
        <v>0</v>
      </c>
      <c r="DE25" s="22">
        <f t="shared" si="29"/>
        <v>0</v>
      </c>
      <c r="DF25" s="22">
        <f t="shared" si="29"/>
        <v>0</v>
      </c>
      <c r="DG25" s="22">
        <f t="shared" si="29"/>
        <v>0</v>
      </c>
      <c r="DH25" s="22">
        <f t="shared" si="29"/>
        <v>0</v>
      </c>
      <c r="DI25" s="22">
        <f t="shared" ref="DI25:DK56" si="30">Y25-CM25</f>
        <v>0</v>
      </c>
      <c r="DJ25" s="22">
        <f t="shared" si="30"/>
        <v>0</v>
      </c>
      <c r="DK25" s="22">
        <f t="shared" si="30"/>
        <v>0</v>
      </c>
      <c r="DN25" s="152"/>
      <c r="DO25" s="26">
        <v>150000000</v>
      </c>
      <c r="DP25" s="26">
        <v>129819880</v>
      </c>
      <c r="DQ25" s="151">
        <f t="shared" ref="DQ25:DQ88" si="31">+BT25</f>
        <v>0.86546586666666669</v>
      </c>
    </row>
    <row r="26" spans="1:121" ht="47.25" hidden="1" customHeight="1" x14ac:dyDescent="0.25">
      <c r="A26" s="27"/>
      <c r="B26" s="189"/>
      <c r="C26" s="18" t="s">
        <v>108</v>
      </c>
      <c r="D26" s="19" t="s">
        <v>109</v>
      </c>
      <c r="E26" s="20">
        <v>410</v>
      </c>
      <c r="F26" s="21" t="s">
        <v>107</v>
      </c>
      <c r="G26" s="22">
        <f t="shared" si="22"/>
        <v>350000000</v>
      </c>
      <c r="H26" s="22"/>
      <c r="I26" s="22"/>
      <c r="J26" s="22">
        <v>350000000</v>
      </c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3">
        <f t="shared" si="1"/>
        <v>1</v>
      </c>
      <c r="AC26" s="22">
        <f t="shared" si="23"/>
        <v>350000000</v>
      </c>
      <c r="AD26" s="22"/>
      <c r="AE26" s="22"/>
      <c r="AF26" s="22">
        <f>+'[3]JUNIO 2017'!$L$667</f>
        <v>350000000</v>
      </c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3">
        <f t="shared" si="3"/>
        <v>0</v>
      </c>
      <c r="AY26" s="22">
        <f t="shared" si="24"/>
        <v>0</v>
      </c>
      <c r="AZ26" s="22">
        <f t="shared" si="25"/>
        <v>0</v>
      </c>
      <c r="BA26" s="22">
        <f t="shared" si="25"/>
        <v>0</v>
      </c>
      <c r="BB26" s="22">
        <f t="shared" si="25"/>
        <v>0</v>
      </c>
      <c r="BC26" s="22">
        <f t="shared" si="25"/>
        <v>0</v>
      </c>
      <c r="BD26" s="22">
        <f t="shared" si="25"/>
        <v>0</v>
      </c>
      <c r="BE26" s="22">
        <f t="shared" si="25"/>
        <v>0</v>
      </c>
      <c r="BF26" s="22">
        <f t="shared" si="25"/>
        <v>0</v>
      </c>
      <c r="BG26" s="22">
        <f t="shared" si="25"/>
        <v>0</v>
      </c>
      <c r="BH26" s="22">
        <f t="shared" si="25"/>
        <v>0</v>
      </c>
      <c r="BI26" s="22">
        <f t="shared" si="25"/>
        <v>0</v>
      </c>
      <c r="BJ26" s="22">
        <f t="shared" si="25"/>
        <v>0</v>
      </c>
      <c r="BK26" s="22">
        <f t="shared" si="25"/>
        <v>0</v>
      </c>
      <c r="BL26" s="22">
        <f t="shared" si="25"/>
        <v>0</v>
      </c>
      <c r="BM26" s="22">
        <f t="shared" si="25"/>
        <v>0</v>
      </c>
      <c r="BN26" s="22">
        <f t="shared" si="25"/>
        <v>0</v>
      </c>
      <c r="BO26" s="22">
        <f t="shared" si="25"/>
        <v>0</v>
      </c>
      <c r="BP26" s="22">
        <f t="shared" si="26"/>
        <v>0</v>
      </c>
      <c r="BQ26" s="22">
        <f t="shared" si="26"/>
        <v>0</v>
      </c>
      <c r="BR26" s="22">
        <f t="shared" si="26"/>
        <v>0</v>
      </c>
      <c r="BS26" s="22">
        <f t="shared" si="26"/>
        <v>0</v>
      </c>
      <c r="BT26" s="23">
        <f t="shared" si="7"/>
        <v>0.25265475142857141</v>
      </c>
      <c r="BU26" s="22">
        <f t="shared" si="27"/>
        <v>88429163</v>
      </c>
      <c r="BV26" s="22"/>
      <c r="BW26" s="22"/>
      <c r="BX26" s="22">
        <f>+'[4]MAYO 2017'!$H$575</f>
        <v>88429163</v>
      </c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3">
        <f t="shared" si="9"/>
        <v>0.74734524857142859</v>
      </c>
      <c r="CQ26" s="22">
        <f t="shared" si="28"/>
        <v>261570837</v>
      </c>
      <c r="CR26" s="22">
        <f t="shared" ref="CR26:DG56" si="32">H26-BV26</f>
        <v>0</v>
      </c>
      <c r="CS26" s="22">
        <f t="shared" si="29"/>
        <v>0</v>
      </c>
      <c r="CT26" s="22">
        <f t="shared" si="29"/>
        <v>261570837</v>
      </c>
      <c r="CU26" s="22">
        <f t="shared" si="29"/>
        <v>0</v>
      </c>
      <c r="CV26" s="22">
        <f t="shared" si="29"/>
        <v>0</v>
      </c>
      <c r="CW26" s="22">
        <f t="shared" si="29"/>
        <v>0</v>
      </c>
      <c r="CX26" s="22">
        <f t="shared" si="29"/>
        <v>0</v>
      </c>
      <c r="CY26" s="22">
        <f t="shared" si="29"/>
        <v>0</v>
      </c>
      <c r="CZ26" s="22">
        <f t="shared" si="29"/>
        <v>0</v>
      </c>
      <c r="DA26" s="22">
        <f t="shared" si="29"/>
        <v>0</v>
      </c>
      <c r="DB26" s="22">
        <f t="shared" si="29"/>
        <v>0</v>
      </c>
      <c r="DC26" s="22">
        <f t="shared" si="29"/>
        <v>0</v>
      </c>
      <c r="DD26" s="22">
        <f t="shared" si="29"/>
        <v>0</v>
      </c>
      <c r="DE26" s="22">
        <f t="shared" si="29"/>
        <v>0</v>
      </c>
      <c r="DF26" s="22">
        <f t="shared" si="29"/>
        <v>0</v>
      </c>
      <c r="DG26" s="22">
        <f t="shared" si="29"/>
        <v>0</v>
      </c>
      <c r="DH26" s="22">
        <f t="shared" si="29"/>
        <v>0</v>
      </c>
      <c r="DI26" s="22">
        <f t="shared" si="30"/>
        <v>0</v>
      </c>
      <c r="DJ26" s="22">
        <f t="shared" si="30"/>
        <v>0</v>
      </c>
      <c r="DK26" s="22">
        <f t="shared" si="30"/>
        <v>0</v>
      </c>
      <c r="DN26" s="152"/>
      <c r="DO26" s="26">
        <v>350000000</v>
      </c>
      <c r="DP26" s="26">
        <v>88429163</v>
      </c>
      <c r="DQ26" s="151">
        <f t="shared" si="31"/>
        <v>0.25265475142857141</v>
      </c>
    </row>
    <row r="27" spans="1:121" ht="33.75" hidden="1" customHeight="1" x14ac:dyDescent="0.25">
      <c r="A27" s="27"/>
      <c r="B27" s="190"/>
      <c r="C27" s="53" t="s">
        <v>110</v>
      </c>
      <c r="D27" s="31" t="s">
        <v>111</v>
      </c>
      <c r="E27" s="54">
        <v>410</v>
      </c>
      <c r="F27" s="55" t="s">
        <v>112</v>
      </c>
      <c r="G27" s="22">
        <f t="shared" si="22"/>
        <v>1418000000</v>
      </c>
      <c r="H27" s="22"/>
      <c r="I27" s="22"/>
      <c r="J27" s="22">
        <v>1400000000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>
        <v>18000000</v>
      </c>
      <c r="AB27" s="23">
        <f t="shared" si="1"/>
        <v>0.9966194097320169</v>
      </c>
      <c r="AC27" s="22">
        <f t="shared" si="23"/>
        <v>1413206323</v>
      </c>
      <c r="AD27" s="22"/>
      <c r="AE27" s="22"/>
      <c r="AF27" s="22">
        <f>+'[6]JULIO 2017'!$L$858</f>
        <v>1400000000</v>
      </c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>
        <f>+'[5]AGOSTO 2017'!$AC$1020</f>
        <v>13206323</v>
      </c>
      <c r="AX27" s="23">
        <f t="shared" si="3"/>
        <v>3.3805902679830968E-3</v>
      </c>
      <c r="AY27" s="22">
        <f t="shared" si="24"/>
        <v>4793677</v>
      </c>
      <c r="AZ27" s="22">
        <f t="shared" si="25"/>
        <v>0</v>
      </c>
      <c r="BA27" s="22">
        <f t="shared" si="25"/>
        <v>0</v>
      </c>
      <c r="BB27" s="22">
        <f t="shared" si="25"/>
        <v>0</v>
      </c>
      <c r="BC27" s="22">
        <f t="shared" si="25"/>
        <v>0</v>
      </c>
      <c r="BD27" s="22">
        <f t="shared" si="25"/>
        <v>0</v>
      </c>
      <c r="BE27" s="22">
        <f t="shared" si="25"/>
        <v>0</v>
      </c>
      <c r="BF27" s="22">
        <f t="shared" si="25"/>
        <v>0</v>
      </c>
      <c r="BG27" s="22">
        <f t="shared" si="25"/>
        <v>0</v>
      </c>
      <c r="BH27" s="22">
        <f t="shared" si="25"/>
        <v>0</v>
      </c>
      <c r="BI27" s="22">
        <f t="shared" si="25"/>
        <v>0</v>
      </c>
      <c r="BJ27" s="22">
        <f t="shared" si="25"/>
        <v>0</v>
      </c>
      <c r="BK27" s="22">
        <f t="shared" si="25"/>
        <v>0</v>
      </c>
      <c r="BL27" s="22">
        <f t="shared" si="25"/>
        <v>0</v>
      </c>
      <c r="BM27" s="22">
        <f t="shared" si="25"/>
        <v>0</v>
      </c>
      <c r="BN27" s="22">
        <f t="shared" si="25"/>
        <v>0</v>
      </c>
      <c r="BO27" s="22">
        <f t="shared" si="25"/>
        <v>0</v>
      </c>
      <c r="BP27" s="22">
        <f t="shared" si="26"/>
        <v>0</v>
      </c>
      <c r="BQ27" s="22">
        <f t="shared" si="26"/>
        <v>0</v>
      </c>
      <c r="BR27" s="22">
        <f t="shared" si="26"/>
        <v>0</v>
      </c>
      <c r="BS27" s="22">
        <f t="shared" si="26"/>
        <v>4793677</v>
      </c>
      <c r="BT27" s="23">
        <f t="shared" si="7"/>
        <v>0.83529748871650211</v>
      </c>
      <c r="BU27" s="22">
        <f t="shared" si="27"/>
        <v>1184451839</v>
      </c>
      <c r="BV27" s="22"/>
      <c r="BW27" s="22"/>
      <c r="BX27" s="22">
        <f>+'[5]AGOSTO 2017'!$H$1021+'[5]AGOSTO 2017'!$H$1035+'[5]AGOSTO 2017'!$H$1058+'[5]AGOSTO 2017'!$H$1062+'[5]AGOSTO 2017'!$H$1069+'[5]AGOSTO 2017'!$H$1072+'[5]AGOSTO 2017'!$H$1079</f>
        <v>1171245516</v>
      </c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>
        <f>+'[5]AGOSTO 2017'!$H$1018-BX27</f>
        <v>13206323</v>
      </c>
      <c r="CP27" s="23">
        <f t="shared" si="9"/>
        <v>0.16470251128349789</v>
      </c>
      <c r="CQ27" s="22">
        <f t="shared" si="28"/>
        <v>233548161</v>
      </c>
      <c r="CR27" s="22">
        <f t="shared" si="32"/>
        <v>0</v>
      </c>
      <c r="CS27" s="22">
        <f t="shared" si="29"/>
        <v>0</v>
      </c>
      <c r="CT27" s="22">
        <f t="shared" si="29"/>
        <v>228754484</v>
      </c>
      <c r="CU27" s="22">
        <f t="shared" si="29"/>
        <v>0</v>
      </c>
      <c r="CV27" s="22">
        <f t="shared" si="29"/>
        <v>0</v>
      </c>
      <c r="CW27" s="22">
        <f t="shared" si="29"/>
        <v>0</v>
      </c>
      <c r="CX27" s="22">
        <f t="shared" si="29"/>
        <v>0</v>
      </c>
      <c r="CY27" s="22">
        <f t="shared" si="29"/>
        <v>0</v>
      </c>
      <c r="CZ27" s="22">
        <f t="shared" si="29"/>
        <v>0</v>
      </c>
      <c r="DA27" s="22">
        <f t="shared" si="29"/>
        <v>0</v>
      </c>
      <c r="DB27" s="22">
        <f t="shared" si="29"/>
        <v>0</v>
      </c>
      <c r="DC27" s="22">
        <f t="shared" si="29"/>
        <v>0</v>
      </c>
      <c r="DD27" s="22">
        <f t="shared" si="29"/>
        <v>0</v>
      </c>
      <c r="DE27" s="22">
        <f t="shared" si="29"/>
        <v>0</v>
      </c>
      <c r="DF27" s="22">
        <f t="shared" si="29"/>
        <v>0</v>
      </c>
      <c r="DG27" s="22">
        <f t="shared" si="29"/>
        <v>0</v>
      </c>
      <c r="DH27" s="22">
        <f t="shared" si="29"/>
        <v>0</v>
      </c>
      <c r="DI27" s="22">
        <f t="shared" si="30"/>
        <v>0</v>
      </c>
      <c r="DJ27" s="22">
        <f t="shared" si="30"/>
        <v>0</v>
      </c>
      <c r="DK27" s="22">
        <f t="shared" si="30"/>
        <v>4793677</v>
      </c>
      <c r="DN27" s="152"/>
      <c r="DO27" s="26">
        <v>1418000000</v>
      </c>
      <c r="DP27" s="26">
        <v>1184451839</v>
      </c>
      <c r="DQ27" s="151">
        <f t="shared" si="31"/>
        <v>0.83529748871650211</v>
      </c>
    </row>
    <row r="28" spans="1:121" ht="36.75" hidden="1" customHeight="1" x14ac:dyDescent="0.25">
      <c r="A28" s="27"/>
      <c r="B28" s="56"/>
      <c r="C28" s="18" t="s">
        <v>113</v>
      </c>
      <c r="D28" s="19" t="s">
        <v>114</v>
      </c>
      <c r="E28" s="20">
        <v>410</v>
      </c>
      <c r="F28" s="21" t="s">
        <v>107</v>
      </c>
      <c r="G28" s="22">
        <f t="shared" si="22"/>
        <v>15000000</v>
      </c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>
        <v>15000000</v>
      </c>
      <c r="W28" s="22"/>
      <c r="X28" s="22"/>
      <c r="Y28" s="22"/>
      <c r="Z28" s="22"/>
      <c r="AA28" s="22"/>
      <c r="AB28" s="23">
        <f t="shared" si="1"/>
        <v>1</v>
      </c>
      <c r="AC28" s="22">
        <f t="shared" si="23"/>
        <v>15000000</v>
      </c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>
        <f>+'[6]JULIO 2017'!$X$916</f>
        <v>15000000</v>
      </c>
      <c r="AS28" s="22"/>
      <c r="AT28" s="22"/>
      <c r="AU28" s="22"/>
      <c r="AV28" s="22"/>
      <c r="AW28" s="22"/>
      <c r="AX28" s="23">
        <f t="shared" si="3"/>
        <v>0</v>
      </c>
      <c r="AY28" s="22">
        <f t="shared" si="24"/>
        <v>0</v>
      </c>
      <c r="AZ28" s="22">
        <f t="shared" si="25"/>
        <v>0</v>
      </c>
      <c r="BA28" s="22">
        <f t="shared" si="25"/>
        <v>0</v>
      </c>
      <c r="BB28" s="22">
        <f t="shared" si="25"/>
        <v>0</v>
      </c>
      <c r="BC28" s="22">
        <f t="shared" si="25"/>
        <v>0</v>
      </c>
      <c r="BD28" s="22">
        <f t="shared" si="25"/>
        <v>0</v>
      </c>
      <c r="BE28" s="22">
        <f t="shared" si="25"/>
        <v>0</v>
      </c>
      <c r="BF28" s="22">
        <f t="shared" si="25"/>
        <v>0</v>
      </c>
      <c r="BG28" s="22">
        <f t="shared" si="25"/>
        <v>0</v>
      </c>
      <c r="BH28" s="22">
        <f t="shared" si="25"/>
        <v>0</v>
      </c>
      <c r="BI28" s="22">
        <f t="shared" si="25"/>
        <v>0</v>
      </c>
      <c r="BJ28" s="22">
        <f t="shared" si="25"/>
        <v>0</v>
      </c>
      <c r="BK28" s="22">
        <f t="shared" si="25"/>
        <v>0</v>
      </c>
      <c r="BL28" s="22">
        <f t="shared" si="25"/>
        <v>0</v>
      </c>
      <c r="BM28" s="22">
        <f t="shared" si="25"/>
        <v>0</v>
      </c>
      <c r="BN28" s="22">
        <f t="shared" si="25"/>
        <v>0</v>
      </c>
      <c r="BO28" s="22">
        <f t="shared" si="25"/>
        <v>0</v>
      </c>
      <c r="BP28" s="22">
        <f t="shared" si="26"/>
        <v>0</v>
      </c>
      <c r="BQ28" s="22">
        <f t="shared" si="26"/>
        <v>0</v>
      </c>
      <c r="BR28" s="22">
        <f t="shared" si="26"/>
        <v>0</v>
      </c>
      <c r="BS28" s="22">
        <f t="shared" si="26"/>
        <v>0</v>
      </c>
      <c r="BT28" s="23">
        <f t="shared" si="7"/>
        <v>1</v>
      </c>
      <c r="BU28" s="22">
        <f t="shared" si="27"/>
        <v>15000000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>
        <f>+'[6]JULIO 2017'!$X$916</f>
        <v>15000000</v>
      </c>
      <c r="CK28" s="22"/>
      <c r="CL28" s="22"/>
      <c r="CM28" s="22"/>
      <c r="CN28" s="22"/>
      <c r="CO28" s="22"/>
      <c r="CP28" s="23">
        <f t="shared" si="9"/>
        <v>0</v>
      </c>
      <c r="CQ28" s="22">
        <f t="shared" si="28"/>
        <v>0</v>
      </c>
      <c r="CR28" s="22">
        <f t="shared" si="32"/>
        <v>0</v>
      </c>
      <c r="CS28" s="22">
        <f t="shared" si="29"/>
        <v>0</v>
      </c>
      <c r="CT28" s="22">
        <f t="shared" si="29"/>
        <v>0</v>
      </c>
      <c r="CU28" s="22">
        <f t="shared" si="29"/>
        <v>0</v>
      </c>
      <c r="CV28" s="22">
        <f t="shared" si="29"/>
        <v>0</v>
      </c>
      <c r="CW28" s="22">
        <f t="shared" si="29"/>
        <v>0</v>
      </c>
      <c r="CX28" s="22">
        <f t="shared" si="29"/>
        <v>0</v>
      </c>
      <c r="CY28" s="22">
        <f t="shared" si="29"/>
        <v>0</v>
      </c>
      <c r="CZ28" s="22">
        <f t="shared" si="29"/>
        <v>0</v>
      </c>
      <c r="DA28" s="22">
        <f t="shared" si="29"/>
        <v>0</v>
      </c>
      <c r="DB28" s="22">
        <f t="shared" si="29"/>
        <v>0</v>
      </c>
      <c r="DC28" s="22">
        <f t="shared" si="29"/>
        <v>0</v>
      </c>
      <c r="DD28" s="22">
        <f t="shared" si="29"/>
        <v>0</v>
      </c>
      <c r="DE28" s="22">
        <f t="shared" si="29"/>
        <v>0</v>
      </c>
      <c r="DF28" s="22">
        <f t="shared" si="29"/>
        <v>0</v>
      </c>
      <c r="DG28" s="22">
        <f t="shared" si="29"/>
        <v>0</v>
      </c>
      <c r="DH28" s="22">
        <f t="shared" si="29"/>
        <v>0</v>
      </c>
      <c r="DI28" s="22">
        <f t="shared" si="30"/>
        <v>0</v>
      </c>
      <c r="DJ28" s="22">
        <f t="shared" si="30"/>
        <v>0</v>
      </c>
      <c r="DK28" s="22">
        <f t="shared" si="30"/>
        <v>0</v>
      </c>
      <c r="DN28" s="152"/>
      <c r="DO28" s="26">
        <v>15000000</v>
      </c>
      <c r="DP28" s="26">
        <v>15000000</v>
      </c>
      <c r="DQ28" s="151">
        <f t="shared" si="31"/>
        <v>1</v>
      </c>
    </row>
    <row r="29" spans="1:121" ht="38.25" hidden="1" customHeight="1" x14ac:dyDescent="0.25">
      <c r="A29" s="27"/>
      <c r="B29" s="56"/>
      <c r="C29" s="18" t="s">
        <v>115</v>
      </c>
      <c r="D29" s="19" t="s">
        <v>116</v>
      </c>
      <c r="E29" s="20">
        <v>410</v>
      </c>
      <c r="F29" s="21" t="s">
        <v>107</v>
      </c>
      <c r="G29" s="22">
        <f t="shared" si="22"/>
        <v>440305826</v>
      </c>
      <c r="H29" s="22"/>
      <c r="I29" s="22"/>
      <c r="J29" s="22">
        <v>150000000</v>
      </c>
      <c r="K29" s="22">
        <v>107030068</v>
      </c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>
        <v>183275758</v>
      </c>
      <c r="W29" s="22"/>
      <c r="X29" s="22"/>
      <c r="Y29" s="22"/>
      <c r="Z29" s="22"/>
      <c r="AA29" s="22"/>
      <c r="AB29" s="23">
        <f t="shared" si="1"/>
        <v>0.50333326500203979</v>
      </c>
      <c r="AC29" s="22">
        <f t="shared" si="23"/>
        <v>221620569</v>
      </c>
      <c r="AD29" s="22"/>
      <c r="AE29" s="22"/>
      <c r="AF29" s="22"/>
      <c r="AG29" s="22">
        <v>82569198</v>
      </c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>
        <f>+'[5]AGOSTO 2017'!$X$1108</f>
        <v>139051371</v>
      </c>
      <c r="AS29" s="22"/>
      <c r="AT29" s="22"/>
      <c r="AU29" s="22"/>
      <c r="AV29" s="22"/>
      <c r="AW29" s="22"/>
      <c r="AX29" s="23">
        <f t="shared" si="3"/>
        <v>0.49666673499796021</v>
      </c>
      <c r="AY29" s="22">
        <f t="shared" si="24"/>
        <v>218685257</v>
      </c>
      <c r="AZ29" s="22">
        <f t="shared" si="25"/>
        <v>0</v>
      </c>
      <c r="BA29" s="22">
        <f t="shared" si="25"/>
        <v>0</v>
      </c>
      <c r="BB29" s="22">
        <f t="shared" si="25"/>
        <v>150000000</v>
      </c>
      <c r="BC29" s="22">
        <f t="shared" si="25"/>
        <v>24460870</v>
      </c>
      <c r="BD29" s="22">
        <f t="shared" si="25"/>
        <v>0</v>
      </c>
      <c r="BE29" s="22">
        <f t="shared" si="25"/>
        <v>0</v>
      </c>
      <c r="BF29" s="22">
        <f t="shared" si="25"/>
        <v>0</v>
      </c>
      <c r="BG29" s="22">
        <f t="shared" si="25"/>
        <v>0</v>
      </c>
      <c r="BH29" s="22">
        <f t="shared" si="25"/>
        <v>0</v>
      </c>
      <c r="BI29" s="22">
        <f t="shared" si="25"/>
        <v>0</v>
      </c>
      <c r="BJ29" s="22">
        <f t="shared" si="25"/>
        <v>0</v>
      </c>
      <c r="BK29" s="22">
        <f t="shared" si="25"/>
        <v>0</v>
      </c>
      <c r="BL29" s="22">
        <f t="shared" si="25"/>
        <v>0</v>
      </c>
      <c r="BM29" s="22">
        <f t="shared" si="25"/>
        <v>0</v>
      </c>
      <c r="BN29" s="22">
        <f t="shared" si="25"/>
        <v>44224387</v>
      </c>
      <c r="BO29" s="22">
        <f t="shared" si="25"/>
        <v>0</v>
      </c>
      <c r="BP29" s="22">
        <f t="shared" si="26"/>
        <v>0</v>
      </c>
      <c r="BQ29" s="22">
        <f t="shared" si="26"/>
        <v>0</v>
      </c>
      <c r="BR29" s="22">
        <f t="shared" si="26"/>
        <v>0</v>
      </c>
      <c r="BS29" s="22">
        <f t="shared" si="26"/>
        <v>0</v>
      </c>
      <c r="BT29" s="23">
        <f t="shared" si="7"/>
        <v>0.45965893033629768</v>
      </c>
      <c r="BU29" s="22">
        <f t="shared" si="27"/>
        <v>202390505</v>
      </c>
      <c r="BV29" s="22"/>
      <c r="BW29" s="22"/>
      <c r="BX29" s="22"/>
      <c r="BY29" s="22">
        <v>82569198</v>
      </c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>
        <f>+'[5]AGOSTO 2017'!$H$1106-BY29</f>
        <v>119821307</v>
      </c>
      <c r="CK29" s="22"/>
      <c r="CL29" s="22"/>
      <c r="CM29" s="22"/>
      <c r="CN29" s="22"/>
      <c r="CO29" s="22"/>
      <c r="CP29" s="23">
        <f t="shared" si="9"/>
        <v>0.54034106966370232</v>
      </c>
      <c r="CQ29" s="22">
        <f t="shared" si="28"/>
        <v>237915321</v>
      </c>
      <c r="CR29" s="22">
        <f t="shared" si="32"/>
        <v>0</v>
      </c>
      <c r="CS29" s="22">
        <f t="shared" si="29"/>
        <v>0</v>
      </c>
      <c r="CT29" s="22">
        <f t="shared" si="29"/>
        <v>150000000</v>
      </c>
      <c r="CU29" s="22">
        <f t="shared" si="29"/>
        <v>24460870</v>
      </c>
      <c r="CV29" s="22">
        <f t="shared" si="29"/>
        <v>0</v>
      </c>
      <c r="CW29" s="22">
        <f t="shared" si="29"/>
        <v>0</v>
      </c>
      <c r="CX29" s="22">
        <f t="shared" si="29"/>
        <v>0</v>
      </c>
      <c r="CY29" s="22">
        <f t="shared" si="29"/>
        <v>0</v>
      </c>
      <c r="CZ29" s="22">
        <f t="shared" si="29"/>
        <v>0</v>
      </c>
      <c r="DA29" s="22">
        <f t="shared" si="29"/>
        <v>0</v>
      </c>
      <c r="DB29" s="22">
        <f t="shared" si="29"/>
        <v>0</v>
      </c>
      <c r="DC29" s="22">
        <f t="shared" si="29"/>
        <v>0</v>
      </c>
      <c r="DD29" s="22">
        <f t="shared" si="29"/>
        <v>0</v>
      </c>
      <c r="DE29" s="22">
        <f t="shared" si="29"/>
        <v>0</v>
      </c>
      <c r="DF29" s="22">
        <f t="shared" si="29"/>
        <v>63454451</v>
      </c>
      <c r="DG29" s="22">
        <f t="shared" si="29"/>
        <v>0</v>
      </c>
      <c r="DH29" s="22">
        <f t="shared" si="29"/>
        <v>0</v>
      </c>
      <c r="DI29" s="22">
        <f t="shared" si="30"/>
        <v>0</v>
      </c>
      <c r="DJ29" s="22">
        <f t="shared" si="30"/>
        <v>0</v>
      </c>
      <c r="DK29" s="22">
        <f t="shared" si="30"/>
        <v>0</v>
      </c>
      <c r="DN29" s="152"/>
      <c r="DO29" s="26">
        <v>440305826</v>
      </c>
      <c r="DP29" s="26">
        <v>202390505</v>
      </c>
      <c r="DQ29" s="151">
        <f t="shared" si="31"/>
        <v>0.45965893033629768</v>
      </c>
    </row>
    <row r="30" spans="1:121" ht="36" hidden="1" customHeight="1" x14ac:dyDescent="0.25">
      <c r="A30" s="27"/>
      <c r="B30" s="191" t="s">
        <v>117</v>
      </c>
      <c r="C30" s="30" t="s">
        <v>118</v>
      </c>
      <c r="D30" s="19" t="s">
        <v>119</v>
      </c>
      <c r="E30" s="20">
        <v>410</v>
      </c>
      <c r="F30" s="21" t="s">
        <v>107</v>
      </c>
      <c r="G30" s="22">
        <f t="shared" si="22"/>
        <v>5000000</v>
      </c>
      <c r="H30" s="22"/>
      <c r="I30" s="22">
        <v>5000000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3">
        <f t="shared" si="1"/>
        <v>0</v>
      </c>
      <c r="AC30" s="22">
        <f t="shared" si="23"/>
        <v>0</v>
      </c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3">
        <f t="shared" si="3"/>
        <v>1</v>
      </c>
      <c r="AY30" s="22">
        <f t="shared" si="24"/>
        <v>5000000</v>
      </c>
      <c r="AZ30" s="22">
        <f t="shared" si="25"/>
        <v>0</v>
      </c>
      <c r="BA30" s="22">
        <f t="shared" si="25"/>
        <v>5000000</v>
      </c>
      <c r="BB30" s="22">
        <f t="shared" si="25"/>
        <v>0</v>
      </c>
      <c r="BC30" s="22">
        <f t="shared" si="25"/>
        <v>0</v>
      </c>
      <c r="BD30" s="22">
        <f t="shared" si="25"/>
        <v>0</v>
      </c>
      <c r="BE30" s="22">
        <f t="shared" si="25"/>
        <v>0</v>
      </c>
      <c r="BF30" s="22">
        <f t="shared" si="25"/>
        <v>0</v>
      </c>
      <c r="BG30" s="22">
        <f t="shared" si="25"/>
        <v>0</v>
      </c>
      <c r="BH30" s="22">
        <f t="shared" si="25"/>
        <v>0</v>
      </c>
      <c r="BI30" s="22">
        <f t="shared" si="25"/>
        <v>0</v>
      </c>
      <c r="BJ30" s="22">
        <f t="shared" si="25"/>
        <v>0</v>
      </c>
      <c r="BK30" s="22">
        <f t="shared" si="25"/>
        <v>0</v>
      </c>
      <c r="BL30" s="22">
        <f t="shared" si="25"/>
        <v>0</v>
      </c>
      <c r="BM30" s="22">
        <f t="shared" si="25"/>
        <v>0</v>
      </c>
      <c r="BN30" s="22">
        <f t="shared" si="25"/>
        <v>0</v>
      </c>
      <c r="BO30" s="22">
        <f t="shared" si="25"/>
        <v>0</v>
      </c>
      <c r="BP30" s="22">
        <f t="shared" si="26"/>
        <v>0</v>
      </c>
      <c r="BQ30" s="22">
        <f t="shared" si="26"/>
        <v>0</v>
      </c>
      <c r="BR30" s="22">
        <f t="shared" si="26"/>
        <v>0</v>
      </c>
      <c r="BS30" s="22">
        <f t="shared" si="26"/>
        <v>0</v>
      </c>
      <c r="BT30" s="23">
        <f t="shared" si="7"/>
        <v>0</v>
      </c>
      <c r="BU30" s="22">
        <f t="shared" si="27"/>
        <v>0</v>
      </c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3">
        <f t="shared" si="9"/>
        <v>1</v>
      </c>
      <c r="CQ30" s="22">
        <f t="shared" si="28"/>
        <v>5000000</v>
      </c>
      <c r="CR30" s="22">
        <f t="shared" si="32"/>
        <v>0</v>
      </c>
      <c r="CS30" s="22">
        <f t="shared" si="29"/>
        <v>5000000</v>
      </c>
      <c r="CT30" s="22">
        <f t="shared" si="29"/>
        <v>0</v>
      </c>
      <c r="CU30" s="22">
        <f t="shared" si="29"/>
        <v>0</v>
      </c>
      <c r="CV30" s="22">
        <f t="shared" si="29"/>
        <v>0</v>
      </c>
      <c r="CW30" s="22">
        <f t="shared" si="29"/>
        <v>0</v>
      </c>
      <c r="CX30" s="22">
        <f t="shared" si="29"/>
        <v>0</v>
      </c>
      <c r="CY30" s="22">
        <f t="shared" si="29"/>
        <v>0</v>
      </c>
      <c r="CZ30" s="22">
        <f t="shared" si="29"/>
        <v>0</v>
      </c>
      <c r="DA30" s="22">
        <f t="shared" si="29"/>
        <v>0</v>
      </c>
      <c r="DB30" s="22">
        <f t="shared" si="29"/>
        <v>0</v>
      </c>
      <c r="DC30" s="22">
        <f t="shared" si="29"/>
        <v>0</v>
      </c>
      <c r="DD30" s="22">
        <f t="shared" si="29"/>
        <v>0</v>
      </c>
      <c r="DE30" s="22">
        <f t="shared" si="29"/>
        <v>0</v>
      </c>
      <c r="DF30" s="22">
        <f t="shared" si="29"/>
        <v>0</v>
      </c>
      <c r="DG30" s="22">
        <f t="shared" si="29"/>
        <v>0</v>
      </c>
      <c r="DH30" s="22">
        <f t="shared" si="29"/>
        <v>0</v>
      </c>
      <c r="DI30" s="22">
        <f t="shared" si="30"/>
        <v>0</v>
      </c>
      <c r="DJ30" s="22">
        <f t="shared" si="30"/>
        <v>0</v>
      </c>
      <c r="DK30" s="22">
        <f t="shared" si="30"/>
        <v>0</v>
      </c>
      <c r="DN30" s="152"/>
      <c r="DO30" s="26">
        <v>5000000</v>
      </c>
      <c r="DP30" s="26">
        <v>0</v>
      </c>
      <c r="DQ30" s="151">
        <f t="shared" si="31"/>
        <v>0</v>
      </c>
    </row>
    <row r="31" spans="1:121" ht="33" hidden="1" customHeight="1" x14ac:dyDescent="0.25">
      <c r="A31" s="27"/>
      <c r="B31" s="189"/>
      <c r="C31" s="18" t="s">
        <v>120</v>
      </c>
      <c r="D31" s="19" t="s">
        <v>121</v>
      </c>
      <c r="E31" s="20">
        <v>410</v>
      </c>
      <c r="F31" s="21" t="s">
        <v>122</v>
      </c>
      <c r="G31" s="22">
        <f t="shared" si="22"/>
        <v>5000000</v>
      </c>
      <c r="H31" s="22"/>
      <c r="I31" s="22">
        <v>5000000</v>
      </c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3">
        <f t="shared" si="1"/>
        <v>1</v>
      </c>
      <c r="AC31" s="22">
        <f t="shared" si="23"/>
        <v>5000000</v>
      </c>
      <c r="AD31" s="22"/>
      <c r="AE31" s="22">
        <f>+'[4]MAYO 2017'!$K$663</f>
        <v>5000000</v>
      </c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3">
        <f t="shared" si="3"/>
        <v>0</v>
      </c>
      <c r="AY31" s="22">
        <f t="shared" si="24"/>
        <v>0</v>
      </c>
      <c r="AZ31" s="22">
        <f t="shared" si="25"/>
        <v>0</v>
      </c>
      <c r="BA31" s="22">
        <f t="shared" si="25"/>
        <v>0</v>
      </c>
      <c r="BB31" s="22">
        <f t="shared" si="25"/>
        <v>0</v>
      </c>
      <c r="BC31" s="22">
        <f t="shared" si="25"/>
        <v>0</v>
      </c>
      <c r="BD31" s="22">
        <f t="shared" si="25"/>
        <v>0</v>
      </c>
      <c r="BE31" s="22">
        <f t="shared" si="25"/>
        <v>0</v>
      </c>
      <c r="BF31" s="22">
        <f t="shared" si="25"/>
        <v>0</v>
      </c>
      <c r="BG31" s="22">
        <f t="shared" si="25"/>
        <v>0</v>
      </c>
      <c r="BH31" s="22">
        <f t="shared" si="25"/>
        <v>0</v>
      </c>
      <c r="BI31" s="22">
        <f t="shared" si="25"/>
        <v>0</v>
      </c>
      <c r="BJ31" s="22">
        <f t="shared" si="25"/>
        <v>0</v>
      </c>
      <c r="BK31" s="22">
        <f t="shared" si="25"/>
        <v>0</v>
      </c>
      <c r="BL31" s="22">
        <f t="shared" si="25"/>
        <v>0</v>
      </c>
      <c r="BM31" s="22">
        <f t="shared" si="25"/>
        <v>0</v>
      </c>
      <c r="BN31" s="22">
        <f t="shared" si="25"/>
        <v>0</v>
      </c>
      <c r="BO31" s="22">
        <f t="shared" si="25"/>
        <v>0</v>
      </c>
      <c r="BP31" s="22">
        <f t="shared" si="26"/>
        <v>0</v>
      </c>
      <c r="BQ31" s="22">
        <f t="shared" si="26"/>
        <v>0</v>
      </c>
      <c r="BR31" s="22">
        <f t="shared" si="26"/>
        <v>0</v>
      </c>
      <c r="BS31" s="22">
        <f t="shared" si="26"/>
        <v>0</v>
      </c>
      <c r="BT31" s="23">
        <f t="shared" si="7"/>
        <v>1</v>
      </c>
      <c r="BU31" s="22">
        <f t="shared" si="27"/>
        <v>5000000</v>
      </c>
      <c r="BV31" s="22"/>
      <c r="BW31" s="22">
        <f>+'[4]MAYO 2017'!$H$661</f>
        <v>5000000</v>
      </c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3">
        <f t="shared" si="9"/>
        <v>0</v>
      </c>
      <c r="CQ31" s="22">
        <f t="shared" si="28"/>
        <v>0</v>
      </c>
      <c r="CR31" s="22">
        <f t="shared" si="32"/>
        <v>0</v>
      </c>
      <c r="CS31" s="22">
        <f t="shared" si="29"/>
        <v>0</v>
      </c>
      <c r="CT31" s="22">
        <f t="shared" si="29"/>
        <v>0</v>
      </c>
      <c r="CU31" s="22">
        <f t="shared" si="29"/>
        <v>0</v>
      </c>
      <c r="CV31" s="22">
        <f t="shared" si="29"/>
        <v>0</v>
      </c>
      <c r="CW31" s="22">
        <f t="shared" si="29"/>
        <v>0</v>
      </c>
      <c r="CX31" s="22">
        <f t="shared" si="29"/>
        <v>0</v>
      </c>
      <c r="CY31" s="22">
        <f t="shared" si="29"/>
        <v>0</v>
      </c>
      <c r="CZ31" s="22">
        <f t="shared" si="29"/>
        <v>0</v>
      </c>
      <c r="DA31" s="22">
        <f t="shared" si="29"/>
        <v>0</v>
      </c>
      <c r="DB31" s="22">
        <f t="shared" si="29"/>
        <v>0</v>
      </c>
      <c r="DC31" s="22">
        <f t="shared" si="29"/>
        <v>0</v>
      </c>
      <c r="DD31" s="22">
        <f t="shared" si="29"/>
        <v>0</v>
      </c>
      <c r="DE31" s="22">
        <f t="shared" si="29"/>
        <v>0</v>
      </c>
      <c r="DF31" s="22">
        <f t="shared" si="29"/>
        <v>0</v>
      </c>
      <c r="DG31" s="22">
        <f t="shared" si="29"/>
        <v>0</v>
      </c>
      <c r="DH31" s="22">
        <f t="shared" si="29"/>
        <v>0</v>
      </c>
      <c r="DI31" s="22">
        <f t="shared" si="30"/>
        <v>0</v>
      </c>
      <c r="DJ31" s="22">
        <f t="shared" si="30"/>
        <v>0</v>
      </c>
      <c r="DK31" s="22">
        <f t="shared" si="30"/>
        <v>0</v>
      </c>
      <c r="DN31" s="152"/>
      <c r="DO31" s="26">
        <v>5000000</v>
      </c>
      <c r="DP31" s="26">
        <v>5000000</v>
      </c>
      <c r="DQ31" s="151">
        <f t="shared" si="31"/>
        <v>1</v>
      </c>
    </row>
    <row r="32" spans="1:121" ht="56.25" hidden="1" customHeight="1" x14ac:dyDescent="0.25">
      <c r="A32" s="27"/>
      <c r="B32" s="189"/>
      <c r="C32" s="18" t="s">
        <v>123</v>
      </c>
      <c r="D32" s="19" t="s">
        <v>124</v>
      </c>
      <c r="E32" s="20">
        <v>410</v>
      </c>
      <c r="F32" s="21" t="s">
        <v>122</v>
      </c>
      <c r="G32" s="22">
        <f t="shared" si="22"/>
        <v>0</v>
      </c>
      <c r="H32" s="22"/>
      <c r="I32" s="22">
        <f>25000000-25000000</f>
        <v>0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3" t="e">
        <f t="shared" si="1"/>
        <v>#DIV/0!</v>
      </c>
      <c r="AC32" s="22">
        <f t="shared" si="23"/>
        <v>0</v>
      </c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3" t="e">
        <f t="shared" si="3"/>
        <v>#DIV/0!</v>
      </c>
      <c r="AY32" s="22">
        <f t="shared" si="24"/>
        <v>0</v>
      </c>
      <c r="AZ32" s="22">
        <f t="shared" si="25"/>
        <v>0</v>
      </c>
      <c r="BA32" s="22">
        <f t="shared" si="25"/>
        <v>0</v>
      </c>
      <c r="BB32" s="22">
        <f t="shared" si="25"/>
        <v>0</v>
      </c>
      <c r="BC32" s="22">
        <f t="shared" si="25"/>
        <v>0</v>
      </c>
      <c r="BD32" s="22">
        <f t="shared" si="25"/>
        <v>0</v>
      </c>
      <c r="BE32" s="22">
        <f t="shared" si="25"/>
        <v>0</v>
      </c>
      <c r="BF32" s="22">
        <f t="shared" si="25"/>
        <v>0</v>
      </c>
      <c r="BG32" s="22">
        <f t="shared" si="25"/>
        <v>0</v>
      </c>
      <c r="BH32" s="22">
        <f t="shared" si="25"/>
        <v>0</v>
      </c>
      <c r="BI32" s="22">
        <f t="shared" si="25"/>
        <v>0</v>
      </c>
      <c r="BJ32" s="22">
        <f t="shared" si="25"/>
        <v>0</v>
      </c>
      <c r="BK32" s="22">
        <f t="shared" si="25"/>
        <v>0</v>
      </c>
      <c r="BL32" s="22">
        <f t="shared" si="25"/>
        <v>0</v>
      </c>
      <c r="BM32" s="22">
        <f t="shared" si="25"/>
        <v>0</v>
      </c>
      <c r="BN32" s="22">
        <f t="shared" si="25"/>
        <v>0</v>
      </c>
      <c r="BO32" s="22">
        <f t="shared" si="25"/>
        <v>0</v>
      </c>
      <c r="BP32" s="22">
        <f t="shared" si="26"/>
        <v>0</v>
      </c>
      <c r="BQ32" s="22">
        <f t="shared" si="26"/>
        <v>0</v>
      </c>
      <c r="BR32" s="22">
        <f t="shared" si="26"/>
        <v>0</v>
      </c>
      <c r="BS32" s="22">
        <f t="shared" si="26"/>
        <v>0</v>
      </c>
      <c r="BT32" s="23" t="e">
        <f t="shared" si="7"/>
        <v>#DIV/0!</v>
      </c>
      <c r="BU32" s="22">
        <f t="shared" si="27"/>
        <v>0</v>
      </c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3" t="e">
        <f t="shared" si="9"/>
        <v>#DIV/0!</v>
      </c>
      <c r="CQ32" s="22">
        <f t="shared" si="28"/>
        <v>0</v>
      </c>
      <c r="CR32" s="22">
        <f t="shared" si="32"/>
        <v>0</v>
      </c>
      <c r="CS32" s="22">
        <f t="shared" si="29"/>
        <v>0</v>
      </c>
      <c r="CT32" s="22">
        <f t="shared" si="29"/>
        <v>0</v>
      </c>
      <c r="CU32" s="22">
        <f t="shared" si="29"/>
        <v>0</v>
      </c>
      <c r="CV32" s="22">
        <f t="shared" si="29"/>
        <v>0</v>
      </c>
      <c r="CW32" s="22">
        <f t="shared" si="29"/>
        <v>0</v>
      </c>
      <c r="CX32" s="22">
        <f t="shared" si="29"/>
        <v>0</v>
      </c>
      <c r="CY32" s="22">
        <f t="shared" si="29"/>
        <v>0</v>
      </c>
      <c r="CZ32" s="22">
        <f t="shared" si="29"/>
        <v>0</v>
      </c>
      <c r="DA32" s="22">
        <f t="shared" si="29"/>
        <v>0</v>
      </c>
      <c r="DB32" s="22">
        <f t="shared" si="29"/>
        <v>0</v>
      </c>
      <c r="DC32" s="22">
        <f t="shared" si="29"/>
        <v>0</v>
      </c>
      <c r="DD32" s="22">
        <f t="shared" si="29"/>
        <v>0</v>
      </c>
      <c r="DE32" s="22">
        <f t="shared" si="29"/>
        <v>0</v>
      </c>
      <c r="DF32" s="22">
        <f t="shared" si="29"/>
        <v>0</v>
      </c>
      <c r="DG32" s="22">
        <f t="shared" si="29"/>
        <v>0</v>
      </c>
      <c r="DH32" s="22">
        <f t="shared" si="29"/>
        <v>0</v>
      </c>
      <c r="DI32" s="22">
        <f t="shared" si="30"/>
        <v>0</v>
      </c>
      <c r="DJ32" s="22">
        <f t="shared" si="30"/>
        <v>0</v>
      </c>
      <c r="DK32" s="22">
        <f t="shared" si="30"/>
        <v>0</v>
      </c>
      <c r="DN32" s="152"/>
      <c r="DO32" s="26">
        <v>0</v>
      </c>
      <c r="DP32" s="26">
        <v>0</v>
      </c>
      <c r="DQ32" s="151" t="e">
        <f t="shared" si="31"/>
        <v>#DIV/0!</v>
      </c>
    </row>
    <row r="33" spans="1:121" ht="35.25" hidden="1" customHeight="1" x14ac:dyDescent="0.25">
      <c r="A33" s="27"/>
      <c r="B33" s="189"/>
      <c r="C33" s="18" t="s">
        <v>125</v>
      </c>
      <c r="D33" s="19" t="s">
        <v>126</v>
      </c>
      <c r="E33" s="20">
        <v>410</v>
      </c>
      <c r="F33" s="21" t="s">
        <v>122</v>
      </c>
      <c r="G33" s="22">
        <f t="shared" si="22"/>
        <v>18000000</v>
      </c>
      <c r="H33" s="22"/>
      <c r="I33" s="22">
        <f>25000000-7000000</f>
        <v>18000000</v>
      </c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3">
        <f t="shared" si="1"/>
        <v>0.72222222222222221</v>
      </c>
      <c r="AC33" s="22">
        <f t="shared" si="23"/>
        <v>13000000</v>
      </c>
      <c r="AD33" s="22"/>
      <c r="AE33" s="22">
        <f>+'[7]FEBRERO 2017'!$K$449</f>
        <v>13000000</v>
      </c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3">
        <f t="shared" si="3"/>
        <v>0.27777777777777779</v>
      </c>
      <c r="AY33" s="22">
        <f t="shared" si="24"/>
        <v>5000000</v>
      </c>
      <c r="AZ33" s="22">
        <f t="shared" si="25"/>
        <v>0</v>
      </c>
      <c r="BA33" s="22">
        <f t="shared" si="25"/>
        <v>5000000</v>
      </c>
      <c r="BB33" s="22">
        <f t="shared" si="25"/>
        <v>0</v>
      </c>
      <c r="BC33" s="22">
        <f t="shared" si="25"/>
        <v>0</v>
      </c>
      <c r="BD33" s="22">
        <f t="shared" si="25"/>
        <v>0</v>
      </c>
      <c r="BE33" s="22">
        <f t="shared" si="25"/>
        <v>0</v>
      </c>
      <c r="BF33" s="22">
        <f t="shared" si="25"/>
        <v>0</v>
      </c>
      <c r="BG33" s="22">
        <f t="shared" si="25"/>
        <v>0</v>
      </c>
      <c r="BH33" s="22">
        <f t="shared" si="25"/>
        <v>0</v>
      </c>
      <c r="BI33" s="22">
        <f t="shared" si="25"/>
        <v>0</v>
      </c>
      <c r="BJ33" s="22">
        <f t="shared" si="25"/>
        <v>0</v>
      </c>
      <c r="BK33" s="22">
        <f t="shared" si="25"/>
        <v>0</v>
      </c>
      <c r="BL33" s="22">
        <f t="shared" si="25"/>
        <v>0</v>
      </c>
      <c r="BM33" s="22">
        <f t="shared" si="25"/>
        <v>0</v>
      </c>
      <c r="BN33" s="22">
        <f t="shared" si="25"/>
        <v>0</v>
      </c>
      <c r="BO33" s="22">
        <f t="shared" si="25"/>
        <v>0</v>
      </c>
      <c r="BP33" s="22">
        <f t="shared" si="26"/>
        <v>0</v>
      </c>
      <c r="BQ33" s="22">
        <f t="shared" si="26"/>
        <v>0</v>
      </c>
      <c r="BR33" s="22">
        <f t="shared" si="26"/>
        <v>0</v>
      </c>
      <c r="BS33" s="22">
        <f t="shared" si="26"/>
        <v>0</v>
      </c>
      <c r="BT33" s="23">
        <f t="shared" si="7"/>
        <v>0.55751850000000003</v>
      </c>
      <c r="BU33" s="22">
        <f t="shared" si="27"/>
        <v>10035333</v>
      </c>
      <c r="BV33" s="22"/>
      <c r="BW33" s="22">
        <f>+'[6]JULIO 2017'!$H$1004</f>
        <v>10035333</v>
      </c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3">
        <f t="shared" si="9"/>
        <v>0.44248149999999997</v>
      </c>
      <c r="CQ33" s="22">
        <f t="shared" si="28"/>
        <v>7964667</v>
      </c>
      <c r="CR33" s="22">
        <f t="shared" si="32"/>
        <v>0</v>
      </c>
      <c r="CS33" s="22">
        <f t="shared" si="29"/>
        <v>7964667</v>
      </c>
      <c r="CT33" s="22">
        <f t="shared" si="29"/>
        <v>0</v>
      </c>
      <c r="CU33" s="22">
        <f t="shared" si="29"/>
        <v>0</v>
      </c>
      <c r="CV33" s="22">
        <f t="shared" si="29"/>
        <v>0</v>
      </c>
      <c r="CW33" s="22">
        <f t="shared" si="29"/>
        <v>0</v>
      </c>
      <c r="CX33" s="22">
        <f t="shared" si="29"/>
        <v>0</v>
      </c>
      <c r="CY33" s="22">
        <f t="shared" si="29"/>
        <v>0</v>
      </c>
      <c r="CZ33" s="22">
        <f t="shared" si="29"/>
        <v>0</v>
      </c>
      <c r="DA33" s="22">
        <f t="shared" si="29"/>
        <v>0</v>
      </c>
      <c r="DB33" s="22">
        <f t="shared" si="29"/>
        <v>0</v>
      </c>
      <c r="DC33" s="22">
        <f t="shared" si="29"/>
        <v>0</v>
      </c>
      <c r="DD33" s="22">
        <f t="shared" si="29"/>
        <v>0</v>
      </c>
      <c r="DE33" s="22">
        <f t="shared" si="29"/>
        <v>0</v>
      </c>
      <c r="DF33" s="22">
        <f t="shared" si="29"/>
        <v>0</v>
      </c>
      <c r="DG33" s="22">
        <f t="shared" si="29"/>
        <v>0</v>
      </c>
      <c r="DH33" s="22">
        <f t="shared" si="29"/>
        <v>0</v>
      </c>
      <c r="DI33" s="22">
        <f t="shared" si="30"/>
        <v>0</v>
      </c>
      <c r="DJ33" s="22">
        <f t="shared" si="30"/>
        <v>0</v>
      </c>
      <c r="DK33" s="22">
        <f t="shared" si="30"/>
        <v>0</v>
      </c>
      <c r="DN33" s="152"/>
      <c r="DO33" s="26">
        <v>18000000</v>
      </c>
      <c r="DP33" s="26">
        <v>10035333</v>
      </c>
      <c r="DQ33" s="151">
        <f t="shared" si="31"/>
        <v>0.55751850000000003</v>
      </c>
    </row>
    <row r="34" spans="1:121" ht="37.5" hidden="1" customHeight="1" x14ac:dyDescent="0.25">
      <c r="A34" s="27"/>
      <c r="B34" s="189"/>
      <c r="C34" s="18" t="s">
        <v>127</v>
      </c>
      <c r="D34" s="19" t="s">
        <v>128</v>
      </c>
      <c r="E34" s="20">
        <v>410</v>
      </c>
      <c r="F34" s="21" t="s">
        <v>129</v>
      </c>
      <c r="G34" s="22">
        <f t="shared" si="22"/>
        <v>50000000</v>
      </c>
      <c r="H34" s="22"/>
      <c r="I34" s="22">
        <v>45000000</v>
      </c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>
        <v>5000000</v>
      </c>
      <c r="AB34" s="23">
        <f t="shared" si="1"/>
        <v>0.89916090000000004</v>
      </c>
      <c r="AC34" s="22">
        <f t="shared" si="23"/>
        <v>44958045</v>
      </c>
      <c r="AD34" s="22"/>
      <c r="AE34" s="22">
        <f>+'[3]JUNIO 2017'!$K$786</f>
        <v>44958045</v>
      </c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3">
        <f t="shared" si="3"/>
        <v>0.10083909999999996</v>
      </c>
      <c r="AY34" s="22">
        <f t="shared" si="24"/>
        <v>5041955</v>
      </c>
      <c r="AZ34" s="22">
        <f t="shared" si="25"/>
        <v>0</v>
      </c>
      <c r="BA34" s="22">
        <f t="shared" si="25"/>
        <v>41955</v>
      </c>
      <c r="BB34" s="22">
        <f t="shared" si="25"/>
        <v>0</v>
      </c>
      <c r="BC34" s="22">
        <f t="shared" si="25"/>
        <v>0</v>
      </c>
      <c r="BD34" s="22">
        <f t="shared" si="25"/>
        <v>0</v>
      </c>
      <c r="BE34" s="22">
        <f t="shared" si="25"/>
        <v>0</v>
      </c>
      <c r="BF34" s="22">
        <f t="shared" si="25"/>
        <v>0</v>
      </c>
      <c r="BG34" s="22">
        <f t="shared" si="25"/>
        <v>0</v>
      </c>
      <c r="BH34" s="22">
        <f t="shared" si="25"/>
        <v>0</v>
      </c>
      <c r="BI34" s="22">
        <f t="shared" si="25"/>
        <v>0</v>
      </c>
      <c r="BJ34" s="22">
        <f t="shared" si="25"/>
        <v>0</v>
      </c>
      <c r="BK34" s="22">
        <f t="shared" si="25"/>
        <v>0</v>
      </c>
      <c r="BL34" s="22">
        <f t="shared" si="25"/>
        <v>0</v>
      </c>
      <c r="BM34" s="22">
        <f t="shared" si="25"/>
        <v>0</v>
      </c>
      <c r="BN34" s="22">
        <f t="shared" si="25"/>
        <v>0</v>
      </c>
      <c r="BO34" s="22">
        <f t="shared" si="25"/>
        <v>0</v>
      </c>
      <c r="BP34" s="22">
        <f t="shared" si="26"/>
        <v>0</v>
      </c>
      <c r="BQ34" s="22">
        <f t="shared" si="26"/>
        <v>0</v>
      </c>
      <c r="BR34" s="22">
        <f t="shared" si="26"/>
        <v>0</v>
      </c>
      <c r="BS34" s="22">
        <f t="shared" si="26"/>
        <v>5000000</v>
      </c>
      <c r="BT34" s="23">
        <f t="shared" si="7"/>
        <v>0.89916090000000004</v>
      </c>
      <c r="BU34" s="22">
        <f t="shared" si="27"/>
        <v>44958045</v>
      </c>
      <c r="BV34" s="22"/>
      <c r="BW34" s="22">
        <f>+'[3]JUNIO 2017'!$H$784</f>
        <v>44958045</v>
      </c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3">
        <f t="shared" si="9"/>
        <v>0.10083909999999996</v>
      </c>
      <c r="CQ34" s="22">
        <f t="shared" si="28"/>
        <v>5041955</v>
      </c>
      <c r="CR34" s="22">
        <f t="shared" si="32"/>
        <v>0</v>
      </c>
      <c r="CS34" s="22">
        <f t="shared" si="29"/>
        <v>41955</v>
      </c>
      <c r="CT34" s="22">
        <f t="shared" si="29"/>
        <v>0</v>
      </c>
      <c r="CU34" s="22">
        <f t="shared" si="29"/>
        <v>0</v>
      </c>
      <c r="CV34" s="22">
        <f t="shared" si="29"/>
        <v>0</v>
      </c>
      <c r="CW34" s="22">
        <f t="shared" si="29"/>
        <v>0</v>
      </c>
      <c r="CX34" s="22">
        <f t="shared" si="29"/>
        <v>0</v>
      </c>
      <c r="CY34" s="22">
        <f t="shared" si="29"/>
        <v>0</v>
      </c>
      <c r="CZ34" s="22">
        <f t="shared" si="29"/>
        <v>0</v>
      </c>
      <c r="DA34" s="22">
        <f t="shared" si="29"/>
        <v>0</v>
      </c>
      <c r="DB34" s="22">
        <f t="shared" si="29"/>
        <v>0</v>
      </c>
      <c r="DC34" s="22">
        <f t="shared" si="29"/>
        <v>0</v>
      </c>
      <c r="DD34" s="22">
        <f t="shared" si="29"/>
        <v>0</v>
      </c>
      <c r="DE34" s="22">
        <f t="shared" si="29"/>
        <v>0</v>
      </c>
      <c r="DF34" s="22">
        <f t="shared" si="29"/>
        <v>0</v>
      </c>
      <c r="DG34" s="22">
        <f t="shared" si="29"/>
        <v>0</v>
      </c>
      <c r="DH34" s="22">
        <f t="shared" si="29"/>
        <v>0</v>
      </c>
      <c r="DI34" s="22">
        <f t="shared" si="30"/>
        <v>0</v>
      </c>
      <c r="DJ34" s="22">
        <f t="shared" si="30"/>
        <v>0</v>
      </c>
      <c r="DK34" s="22">
        <f t="shared" si="30"/>
        <v>5000000</v>
      </c>
      <c r="DN34" s="152"/>
      <c r="DO34" s="26">
        <v>50000000</v>
      </c>
      <c r="DP34" s="26">
        <v>44958045</v>
      </c>
      <c r="DQ34" s="151">
        <f t="shared" si="31"/>
        <v>0.89916090000000004</v>
      </c>
    </row>
    <row r="35" spans="1:121" ht="33.75" hidden="1" customHeight="1" x14ac:dyDescent="0.25">
      <c r="A35" s="27"/>
      <c r="B35" s="189"/>
      <c r="C35" s="18" t="s">
        <v>130</v>
      </c>
      <c r="D35" s="19" t="s">
        <v>131</v>
      </c>
      <c r="E35" s="20">
        <v>410</v>
      </c>
      <c r="F35" s="21" t="s">
        <v>132</v>
      </c>
      <c r="G35" s="22">
        <f t="shared" si="22"/>
        <v>55000000</v>
      </c>
      <c r="H35" s="22"/>
      <c r="I35" s="22">
        <v>45000000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>
        <f>5000000+5000000</f>
        <v>10000000</v>
      </c>
      <c r="AB35" s="23">
        <f t="shared" si="1"/>
        <v>0.63194709090909096</v>
      </c>
      <c r="AC35" s="22">
        <f t="shared" si="23"/>
        <v>34757090</v>
      </c>
      <c r="AD35" s="22"/>
      <c r="AE35" s="22">
        <f>+'[5]AGOSTO 2017'!$K$1234</f>
        <v>28207090</v>
      </c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>
        <f>+'[6]JULIO 2017'!$AC$1037</f>
        <v>6550000</v>
      </c>
      <c r="AX35" s="23">
        <f t="shared" si="3"/>
        <v>0.36805290909090904</v>
      </c>
      <c r="AY35" s="22">
        <f t="shared" si="24"/>
        <v>20242910</v>
      </c>
      <c r="AZ35" s="22">
        <f t="shared" si="25"/>
        <v>0</v>
      </c>
      <c r="BA35" s="22">
        <f t="shared" si="25"/>
        <v>16792910</v>
      </c>
      <c r="BB35" s="22">
        <f t="shared" si="25"/>
        <v>0</v>
      </c>
      <c r="BC35" s="22">
        <f t="shared" si="25"/>
        <v>0</v>
      </c>
      <c r="BD35" s="22">
        <f t="shared" si="25"/>
        <v>0</v>
      </c>
      <c r="BE35" s="22">
        <f t="shared" si="25"/>
        <v>0</v>
      </c>
      <c r="BF35" s="22">
        <f t="shared" si="25"/>
        <v>0</v>
      </c>
      <c r="BG35" s="22">
        <f t="shared" si="25"/>
        <v>0</v>
      </c>
      <c r="BH35" s="22">
        <f t="shared" si="25"/>
        <v>0</v>
      </c>
      <c r="BI35" s="22">
        <f t="shared" si="25"/>
        <v>0</v>
      </c>
      <c r="BJ35" s="22">
        <f t="shared" si="25"/>
        <v>0</v>
      </c>
      <c r="BK35" s="22">
        <f t="shared" si="25"/>
        <v>0</v>
      </c>
      <c r="BL35" s="22">
        <f t="shared" si="25"/>
        <v>0</v>
      </c>
      <c r="BM35" s="22">
        <f t="shared" si="25"/>
        <v>0</v>
      </c>
      <c r="BN35" s="22">
        <f t="shared" si="25"/>
        <v>0</v>
      </c>
      <c r="BO35" s="22">
        <f t="shared" si="25"/>
        <v>0</v>
      </c>
      <c r="BP35" s="22">
        <f t="shared" si="26"/>
        <v>0</v>
      </c>
      <c r="BQ35" s="22">
        <f t="shared" si="26"/>
        <v>0</v>
      </c>
      <c r="BR35" s="22">
        <f t="shared" si="26"/>
        <v>0</v>
      </c>
      <c r="BS35" s="22">
        <f t="shared" si="26"/>
        <v>3450000</v>
      </c>
      <c r="BT35" s="23">
        <f t="shared" si="7"/>
        <v>0.63194709090909096</v>
      </c>
      <c r="BU35" s="22">
        <f t="shared" si="27"/>
        <v>34757090</v>
      </c>
      <c r="BV35" s="22"/>
      <c r="BW35" s="22">
        <f>+'[5]AGOSTO 2017'!$H$1235+'[5]AGOSTO 2017'!$H$1237+'[5]AGOSTO 2017'!$H$1246+'[5]AGOSTO 2017'!$H$1250+'[5]AGOSTO 2017'!$H$1251+'[5]AGOSTO 2017'!$H$1253</f>
        <v>28207090</v>
      </c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>
        <f>+'[6]JULIO 2017'!$H$1035-'[6]JULIO 2017'!$K$1037</f>
        <v>6550000</v>
      </c>
      <c r="CP35" s="23">
        <f t="shared" si="9"/>
        <v>0.36805290909090904</v>
      </c>
      <c r="CQ35" s="22">
        <f t="shared" si="28"/>
        <v>20242910</v>
      </c>
      <c r="CR35" s="22">
        <f t="shared" si="32"/>
        <v>0</v>
      </c>
      <c r="CS35" s="22">
        <f t="shared" si="29"/>
        <v>16792910</v>
      </c>
      <c r="CT35" s="22">
        <f t="shared" si="29"/>
        <v>0</v>
      </c>
      <c r="CU35" s="22">
        <f t="shared" si="29"/>
        <v>0</v>
      </c>
      <c r="CV35" s="22">
        <f t="shared" si="29"/>
        <v>0</v>
      </c>
      <c r="CW35" s="22">
        <f t="shared" si="29"/>
        <v>0</v>
      </c>
      <c r="CX35" s="22">
        <f t="shared" si="29"/>
        <v>0</v>
      </c>
      <c r="CY35" s="22">
        <f t="shared" si="29"/>
        <v>0</v>
      </c>
      <c r="CZ35" s="22">
        <f t="shared" si="29"/>
        <v>0</v>
      </c>
      <c r="DA35" s="22">
        <f t="shared" si="29"/>
        <v>0</v>
      </c>
      <c r="DB35" s="22">
        <f t="shared" si="29"/>
        <v>0</v>
      </c>
      <c r="DC35" s="22">
        <f t="shared" si="29"/>
        <v>0</v>
      </c>
      <c r="DD35" s="22">
        <f t="shared" si="29"/>
        <v>0</v>
      </c>
      <c r="DE35" s="22">
        <f t="shared" si="29"/>
        <v>0</v>
      </c>
      <c r="DF35" s="22">
        <f t="shared" si="29"/>
        <v>0</v>
      </c>
      <c r="DG35" s="22">
        <f t="shared" si="29"/>
        <v>0</v>
      </c>
      <c r="DH35" s="22">
        <f t="shared" si="29"/>
        <v>0</v>
      </c>
      <c r="DI35" s="22">
        <f t="shared" si="30"/>
        <v>0</v>
      </c>
      <c r="DJ35" s="22">
        <f t="shared" si="30"/>
        <v>0</v>
      </c>
      <c r="DK35" s="22">
        <f t="shared" si="30"/>
        <v>3450000</v>
      </c>
      <c r="DN35" s="152"/>
      <c r="DO35" s="26">
        <v>55000000</v>
      </c>
      <c r="DP35" s="26">
        <v>34757090</v>
      </c>
      <c r="DQ35" s="151">
        <f t="shared" si="31"/>
        <v>0.63194709090909096</v>
      </c>
    </row>
    <row r="36" spans="1:121" ht="30.75" hidden="1" customHeight="1" x14ac:dyDescent="0.25">
      <c r="A36" s="27"/>
      <c r="B36" s="189"/>
      <c r="C36" s="18" t="s">
        <v>133</v>
      </c>
      <c r="D36" s="19" t="s">
        <v>134</v>
      </c>
      <c r="E36" s="20">
        <v>410</v>
      </c>
      <c r="F36" s="21" t="s">
        <v>112</v>
      </c>
      <c r="G36" s="22">
        <f t="shared" si="22"/>
        <v>90000000</v>
      </c>
      <c r="H36" s="22"/>
      <c r="I36" s="22"/>
      <c r="J36" s="22">
        <v>80000000</v>
      </c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>
        <v>10000000</v>
      </c>
      <c r="AB36" s="23">
        <f t="shared" si="1"/>
        <v>0.36018442222222224</v>
      </c>
      <c r="AC36" s="22">
        <f t="shared" si="23"/>
        <v>32416598</v>
      </c>
      <c r="AD36" s="22"/>
      <c r="AE36" s="22"/>
      <c r="AF36" s="22">
        <f>+'[5]AGOSTO 2017'!$L$1257</f>
        <v>24910000</v>
      </c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>
        <f>+'[5]AGOSTO 2017'!$AC$1257</f>
        <v>7506598</v>
      </c>
      <c r="AX36" s="23">
        <f t="shared" si="3"/>
        <v>0.63981557777777776</v>
      </c>
      <c r="AY36" s="22">
        <f t="shared" si="24"/>
        <v>57583402</v>
      </c>
      <c r="AZ36" s="22">
        <f t="shared" si="25"/>
        <v>0</v>
      </c>
      <c r="BA36" s="22">
        <f t="shared" si="25"/>
        <v>0</v>
      </c>
      <c r="BB36" s="22">
        <f t="shared" si="25"/>
        <v>55090000</v>
      </c>
      <c r="BC36" s="22">
        <f t="shared" si="25"/>
        <v>0</v>
      </c>
      <c r="BD36" s="22">
        <f t="shared" si="25"/>
        <v>0</v>
      </c>
      <c r="BE36" s="22">
        <f t="shared" si="25"/>
        <v>0</v>
      </c>
      <c r="BF36" s="22">
        <f t="shared" si="25"/>
        <v>0</v>
      </c>
      <c r="BG36" s="22">
        <f t="shared" si="25"/>
        <v>0</v>
      </c>
      <c r="BH36" s="22">
        <f t="shared" si="25"/>
        <v>0</v>
      </c>
      <c r="BI36" s="22">
        <f t="shared" si="25"/>
        <v>0</v>
      </c>
      <c r="BJ36" s="22">
        <f t="shared" si="25"/>
        <v>0</v>
      </c>
      <c r="BK36" s="22">
        <f t="shared" si="25"/>
        <v>0</v>
      </c>
      <c r="BL36" s="22">
        <f t="shared" si="25"/>
        <v>0</v>
      </c>
      <c r="BM36" s="22">
        <f t="shared" si="25"/>
        <v>0</v>
      </c>
      <c r="BN36" s="22">
        <f t="shared" si="25"/>
        <v>0</v>
      </c>
      <c r="BO36" s="22">
        <f t="shared" si="25"/>
        <v>0</v>
      </c>
      <c r="BP36" s="22">
        <f t="shared" si="26"/>
        <v>0</v>
      </c>
      <c r="BQ36" s="22">
        <f t="shared" si="26"/>
        <v>0</v>
      </c>
      <c r="BR36" s="22">
        <f t="shared" si="26"/>
        <v>0</v>
      </c>
      <c r="BS36" s="22">
        <f t="shared" si="26"/>
        <v>2493402</v>
      </c>
      <c r="BT36" s="23">
        <f t="shared" si="7"/>
        <v>0.32351774444444442</v>
      </c>
      <c r="BU36" s="22">
        <f t="shared" si="27"/>
        <v>29116597</v>
      </c>
      <c r="BV36" s="22"/>
      <c r="BW36" s="22"/>
      <c r="BX36" s="22">
        <f>+'[5]AGOSTO 2017'!$H$1258+'[5]AGOSTO 2017'!$H$1262+'[5]AGOSTO 2017'!$H$1265+'[5]AGOSTO 2017'!$H$1267+'[5]AGOSTO 2017'!$H$1269+'[5]AGOSTO 2017'!$H$1271+'[5]AGOSTO 2017'!$H$1273+'[5]AGOSTO 2017'!$H$1275+'[5]AGOSTO 2017'!$H$1278</f>
        <v>24909999</v>
      </c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>
        <f>+'[4]MAYO 2017'!$H$721+'[4]MAYO 2017'!$H$726</f>
        <v>4206598</v>
      </c>
      <c r="CP36" s="23">
        <f t="shared" si="9"/>
        <v>0.67648225555555563</v>
      </c>
      <c r="CQ36" s="22">
        <f t="shared" si="28"/>
        <v>60883403</v>
      </c>
      <c r="CR36" s="22">
        <f t="shared" si="32"/>
        <v>0</v>
      </c>
      <c r="CS36" s="22">
        <f t="shared" si="29"/>
        <v>0</v>
      </c>
      <c r="CT36" s="22">
        <f t="shared" si="29"/>
        <v>55090001</v>
      </c>
      <c r="CU36" s="22">
        <f t="shared" si="29"/>
        <v>0</v>
      </c>
      <c r="CV36" s="22">
        <f t="shared" si="29"/>
        <v>0</v>
      </c>
      <c r="CW36" s="22">
        <f t="shared" si="29"/>
        <v>0</v>
      </c>
      <c r="CX36" s="22">
        <f t="shared" si="29"/>
        <v>0</v>
      </c>
      <c r="CY36" s="22">
        <f t="shared" si="29"/>
        <v>0</v>
      </c>
      <c r="CZ36" s="22">
        <f t="shared" si="29"/>
        <v>0</v>
      </c>
      <c r="DA36" s="22">
        <f t="shared" si="29"/>
        <v>0</v>
      </c>
      <c r="DB36" s="22">
        <f t="shared" si="29"/>
        <v>0</v>
      </c>
      <c r="DC36" s="22">
        <f t="shared" si="29"/>
        <v>0</v>
      </c>
      <c r="DD36" s="22">
        <f t="shared" si="29"/>
        <v>0</v>
      </c>
      <c r="DE36" s="22">
        <f t="shared" si="29"/>
        <v>0</v>
      </c>
      <c r="DF36" s="22">
        <f t="shared" si="29"/>
        <v>0</v>
      </c>
      <c r="DG36" s="22">
        <f t="shared" si="29"/>
        <v>0</v>
      </c>
      <c r="DH36" s="22">
        <f t="shared" si="29"/>
        <v>0</v>
      </c>
      <c r="DI36" s="22">
        <f t="shared" si="30"/>
        <v>0</v>
      </c>
      <c r="DJ36" s="22">
        <f t="shared" si="30"/>
        <v>0</v>
      </c>
      <c r="DK36" s="22">
        <f t="shared" si="30"/>
        <v>5793402</v>
      </c>
      <c r="DN36" s="152"/>
      <c r="DO36" s="26">
        <v>90000000</v>
      </c>
      <c r="DP36" s="26">
        <v>29116597</v>
      </c>
      <c r="DQ36" s="151">
        <f t="shared" si="31"/>
        <v>0.32351774444444442</v>
      </c>
    </row>
    <row r="37" spans="1:121" ht="38.25" hidden="1" customHeight="1" x14ac:dyDescent="0.25">
      <c r="A37" s="27"/>
      <c r="B37" s="189"/>
      <c r="C37" s="18" t="s">
        <v>135</v>
      </c>
      <c r="D37" s="19" t="s">
        <v>136</v>
      </c>
      <c r="E37" s="20">
        <v>410</v>
      </c>
      <c r="F37" s="21" t="s">
        <v>137</v>
      </c>
      <c r="G37" s="22">
        <f t="shared" si="22"/>
        <v>8000000</v>
      </c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>
        <v>8000000</v>
      </c>
      <c r="AB37" s="23">
        <f t="shared" si="1"/>
        <v>0.1136395</v>
      </c>
      <c r="AC37" s="22">
        <f t="shared" si="23"/>
        <v>909116</v>
      </c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>
        <f>+'[5]AGOSTO 2017'!$AC$1282</f>
        <v>909116</v>
      </c>
      <c r="AX37" s="23">
        <f t="shared" si="3"/>
        <v>0.8863605</v>
      </c>
      <c r="AY37" s="22">
        <f t="shared" si="24"/>
        <v>7090884</v>
      </c>
      <c r="AZ37" s="22">
        <f t="shared" si="25"/>
        <v>0</v>
      </c>
      <c r="BA37" s="22">
        <f t="shared" si="25"/>
        <v>0</v>
      </c>
      <c r="BB37" s="22">
        <f t="shared" si="25"/>
        <v>0</v>
      </c>
      <c r="BC37" s="22">
        <f t="shared" si="25"/>
        <v>0</v>
      </c>
      <c r="BD37" s="22">
        <f t="shared" si="25"/>
        <v>0</v>
      </c>
      <c r="BE37" s="22">
        <f t="shared" si="25"/>
        <v>0</v>
      </c>
      <c r="BF37" s="22">
        <f t="shared" si="25"/>
        <v>0</v>
      </c>
      <c r="BG37" s="22">
        <f t="shared" si="25"/>
        <v>0</v>
      </c>
      <c r="BH37" s="22">
        <f t="shared" si="25"/>
        <v>0</v>
      </c>
      <c r="BI37" s="22">
        <f t="shared" si="25"/>
        <v>0</v>
      </c>
      <c r="BJ37" s="22">
        <f t="shared" si="25"/>
        <v>0</v>
      </c>
      <c r="BK37" s="22">
        <f t="shared" si="25"/>
        <v>0</v>
      </c>
      <c r="BL37" s="22">
        <f t="shared" si="25"/>
        <v>0</v>
      </c>
      <c r="BM37" s="22">
        <f t="shared" si="25"/>
        <v>0</v>
      </c>
      <c r="BN37" s="22">
        <f t="shared" si="25"/>
        <v>0</v>
      </c>
      <c r="BO37" s="22">
        <f t="shared" si="25"/>
        <v>0</v>
      </c>
      <c r="BP37" s="22">
        <f t="shared" si="26"/>
        <v>0</v>
      </c>
      <c r="BQ37" s="22">
        <f t="shared" si="26"/>
        <v>0</v>
      </c>
      <c r="BR37" s="22">
        <f t="shared" si="26"/>
        <v>0</v>
      </c>
      <c r="BS37" s="22">
        <f t="shared" si="26"/>
        <v>7090884</v>
      </c>
      <c r="BT37" s="23">
        <f t="shared" si="7"/>
        <v>0.1136395</v>
      </c>
      <c r="BU37" s="22">
        <f t="shared" si="27"/>
        <v>909116</v>
      </c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>
        <f>+'[5]AGOSTO 2017'!$H$1280</f>
        <v>909116</v>
      </c>
      <c r="CP37" s="23">
        <f t="shared" si="9"/>
        <v>0.8863605</v>
      </c>
      <c r="CQ37" s="22">
        <f t="shared" si="28"/>
        <v>7090884</v>
      </c>
      <c r="CR37" s="22">
        <f t="shared" si="32"/>
        <v>0</v>
      </c>
      <c r="CS37" s="22">
        <f t="shared" si="29"/>
        <v>0</v>
      </c>
      <c r="CT37" s="22">
        <f t="shared" si="29"/>
        <v>0</v>
      </c>
      <c r="CU37" s="22">
        <f t="shared" si="29"/>
        <v>0</v>
      </c>
      <c r="CV37" s="22">
        <f t="shared" si="29"/>
        <v>0</v>
      </c>
      <c r="CW37" s="22">
        <f t="shared" si="29"/>
        <v>0</v>
      </c>
      <c r="CX37" s="22">
        <f t="shared" si="29"/>
        <v>0</v>
      </c>
      <c r="CY37" s="22">
        <f t="shared" si="29"/>
        <v>0</v>
      </c>
      <c r="CZ37" s="22">
        <f t="shared" si="29"/>
        <v>0</v>
      </c>
      <c r="DA37" s="22">
        <f t="shared" si="29"/>
        <v>0</v>
      </c>
      <c r="DB37" s="22">
        <f t="shared" si="29"/>
        <v>0</v>
      </c>
      <c r="DC37" s="22">
        <f t="shared" si="29"/>
        <v>0</v>
      </c>
      <c r="DD37" s="22">
        <f t="shared" si="29"/>
        <v>0</v>
      </c>
      <c r="DE37" s="22">
        <f t="shared" si="29"/>
        <v>0</v>
      </c>
      <c r="DF37" s="22">
        <f t="shared" si="29"/>
        <v>0</v>
      </c>
      <c r="DG37" s="22">
        <f t="shared" si="29"/>
        <v>0</v>
      </c>
      <c r="DH37" s="22">
        <f t="shared" si="29"/>
        <v>0</v>
      </c>
      <c r="DI37" s="22">
        <f t="shared" si="30"/>
        <v>0</v>
      </c>
      <c r="DJ37" s="22">
        <f t="shared" si="30"/>
        <v>0</v>
      </c>
      <c r="DK37" s="22">
        <f t="shared" si="30"/>
        <v>7090884</v>
      </c>
      <c r="DN37" s="152"/>
      <c r="DO37" s="26">
        <v>8000000</v>
      </c>
      <c r="DP37" s="26">
        <v>909116</v>
      </c>
      <c r="DQ37" s="151">
        <f t="shared" si="31"/>
        <v>0.1136395</v>
      </c>
    </row>
    <row r="38" spans="1:121" ht="48.75" hidden="1" customHeight="1" x14ac:dyDescent="0.25">
      <c r="A38" s="27"/>
      <c r="B38" s="190"/>
      <c r="C38" s="18" t="s">
        <v>138</v>
      </c>
      <c r="D38" s="19" t="s">
        <v>139</v>
      </c>
      <c r="E38" s="20">
        <v>410</v>
      </c>
      <c r="F38" s="21" t="s">
        <v>140</v>
      </c>
      <c r="G38" s="22">
        <f t="shared" si="22"/>
        <v>319946741</v>
      </c>
      <c r="H38" s="22"/>
      <c r="I38" s="22">
        <v>200000000</v>
      </c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>
        <f>15907499+69169357+34869885</f>
        <v>119946741</v>
      </c>
      <c r="Y38" s="22"/>
      <c r="Z38" s="22"/>
      <c r="AA38" s="22"/>
      <c r="AB38" s="23">
        <f t="shared" si="1"/>
        <v>1</v>
      </c>
      <c r="AC38" s="22">
        <f t="shared" si="23"/>
        <v>319946741</v>
      </c>
      <c r="AD38" s="22"/>
      <c r="AE38" s="22">
        <f>+'[1]ENERO 2017'!$K$361</f>
        <v>200000000</v>
      </c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>
        <f>+'[6]JULIO 2017'!$Z$1084</f>
        <v>119946741</v>
      </c>
      <c r="AU38" s="22"/>
      <c r="AV38" s="22"/>
      <c r="AW38" s="22"/>
      <c r="AX38" s="23">
        <f t="shared" si="3"/>
        <v>0</v>
      </c>
      <c r="AY38" s="22">
        <f t="shared" si="24"/>
        <v>0</v>
      </c>
      <c r="AZ38" s="22">
        <f t="shared" si="25"/>
        <v>0</v>
      </c>
      <c r="BA38" s="22">
        <f t="shared" si="25"/>
        <v>0</v>
      </c>
      <c r="BB38" s="22">
        <f t="shared" si="25"/>
        <v>0</v>
      </c>
      <c r="BC38" s="22">
        <f t="shared" si="25"/>
        <v>0</v>
      </c>
      <c r="BD38" s="22">
        <f t="shared" si="25"/>
        <v>0</v>
      </c>
      <c r="BE38" s="22">
        <f t="shared" si="25"/>
        <v>0</v>
      </c>
      <c r="BF38" s="22">
        <f t="shared" si="25"/>
        <v>0</v>
      </c>
      <c r="BG38" s="22">
        <f t="shared" si="25"/>
        <v>0</v>
      </c>
      <c r="BH38" s="22">
        <f t="shared" si="25"/>
        <v>0</v>
      </c>
      <c r="BI38" s="22">
        <f t="shared" si="25"/>
        <v>0</v>
      </c>
      <c r="BJ38" s="22">
        <f t="shared" si="25"/>
        <v>0</v>
      </c>
      <c r="BK38" s="22">
        <f t="shared" si="25"/>
        <v>0</v>
      </c>
      <c r="BL38" s="22">
        <f t="shared" si="25"/>
        <v>0</v>
      </c>
      <c r="BM38" s="22">
        <f t="shared" si="25"/>
        <v>0</v>
      </c>
      <c r="BN38" s="22">
        <f t="shared" si="25"/>
        <v>0</v>
      </c>
      <c r="BO38" s="22">
        <f t="shared" si="25"/>
        <v>0</v>
      </c>
      <c r="BP38" s="22">
        <f>+X38-AT38</f>
        <v>0</v>
      </c>
      <c r="BQ38" s="22">
        <f t="shared" si="26"/>
        <v>0</v>
      </c>
      <c r="BR38" s="22">
        <f t="shared" si="26"/>
        <v>0</v>
      </c>
      <c r="BS38" s="22">
        <f t="shared" si="26"/>
        <v>0</v>
      </c>
      <c r="BT38" s="23">
        <f t="shared" si="7"/>
        <v>0.67671552560055614</v>
      </c>
      <c r="BU38" s="22">
        <f t="shared" si="27"/>
        <v>216512927</v>
      </c>
      <c r="BV38" s="22"/>
      <c r="BW38" s="22">
        <f>+'[5]AGOSTO 2017'!$H$1291+'[5]AGOSTO 2017'!$H$1308+'[5]AGOSTO 2017'!$H$1321</f>
        <v>171648249</v>
      </c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>
        <f>+'[5]AGOSTO 2017'!$H$1356+'[5]AGOSTO 2017'!$H$1364</f>
        <v>44864678</v>
      </c>
      <c r="CM38" s="22"/>
      <c r="CN38" s="22"/>
      <c r="CO38" s="22"/>
      <c r="CP38" s="23">
        <f t="shared" si="9"/>
        <v>0.32328447439944386</v>
      </c>
      <c r="CQ38" s="22">
        <f t="shared" si="28"/>
        <v>103433814</v>
      </c>
      <c r="CR38" s="22">
        <f t="shared" si="32"/>
        <v>0</v>
      </c>
      <c r="CS38" s="22">
        <f t="shared" si="29"/>
        <v>28351751</v>
      </c>
      <c r="CT38" s="22">
        <f t="shared" si="29"/>
        <v>0</v>
      </c>
      <c r="CU38" s="22">
        <f t="shared" si="29"/>
        <v>0</v>
      </c>
      <c r="CV38" s="22">
        <f t="shared" si="29"/>
        <v>0</v>
      </c>
      <c r="CW38" s="22">
        <f t="shared" si="29"/>
        <v>0</v>
      </c>
      <c r="CX38" s="22">
        <f t="shared" si="29"/>
        <v>0</v>
      </c>
      <c r="CY38" s="22">
        <f t="shared" si="29"/>
        <v>0</v>
      </c>
      <c r="CZ38" s="22">
        <f t="shared" si="29"/>
        <v>0</v>
      </c>
      <c r="DA38" s="22">
        <f t="shared" si="29"/>
        <v>0</v>
      </c>
      <c r="DB38" s="22">
        <f t="shared" si="29"/>
        <v>0</v>
      </c>
      <c r="DC38" s="22">
        <f t="shared" si="29"/>
        <v>0</v>
      </c>
      <c r="DD38" s="22">
        <f t="shared" si="29"/>
        <v>0</v>
      </c>
      <c r="DE38" s="22">
        <f t="shared" si="29"/>
        <v>0</v>
      </c>
      <c r="DF38" s="22">
        <f t="shared" si="29"/>
        <v>0</v>
      </c>
      <c r="DG38" s="22">
        <f t="shared" si="29"/>
        <v>0</v>
      </c>
      <c r="DH38" s="22">
        <f t="shared" si="29"/>
        <v>75082063</v>
      </c>
      <c r="DI38" s="22">
        <f t="shared" si="30"/>
        <v>0</v>
      </c>
      <c r="DJ38" s="22">
        <f t="shared" si="30"/>
        <v>0</v>
      </c>
      <c r="DK38" s="22">
        <f t="shared" si="30"/>
        <v>0</v>
      </c>
      <c r="DM38" s="35"/>
      <c r="DN38" s="152"/>
      <c r="DO38" s="26">
        <v>319946741</v>
      </c>
      <c r="DP38" s="26">
        <v>216512927</v>
      </c>
      <c r="DQ38" s="151">
        <f t="shared" si="31"/>
        <v>0.67671552560055614</v>
      </c>
    </row>
    <row r="39" spans="1:121" ht="35.25" hidden="1" customHeight="1" x14ac:dyDescent="0.25">
      <c r="A39" s="192" t="s">
        <v>103</v>
      </c>
      <c r="B39" s="191" t="s">
        <v>141</v>
      </c>
      <c r="C39" s="18" t="s">
        <v>142</v>
      </c>
      <c r="D39" s="19" t="s">
        <v>143</v>
      </c>
      <c r="E39" s="28">
        <v>410</v>
      </c>
      <c r="F39" s="21" t="s">
        <v>107</v>
      </c>
      <c r="G39" s="22">
        <f t="shared" si="22"/>
        <v>52000000</v>
      </c>
      <c r="H39" s="22"/>
      <c r="I39" s="22"/>
      <c r="J39" s="22">
        <v>40000000</v>
      </c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>
        <f>12000000</f>
        <v>12000000</v>
      </c>
      <c r="W39" s="22"/>
      <c r="X39" s="22"/>
      <c r="Y39" s="22"/>
      <c r="Z39" s="22"/>
      <c r="AA39" s="22"/>
      <c r="AB39" s="23">
        <f t="shared" si="1"/>
        <v>0.66377828846153841</v>
      </c>
      <c r="AC39" s="22">
        <f t="shared" si="23"/>
        <v>34516471</v>
      </c>
      <c r="AD39" s="22"/>
      <c r="AE39" s="22"/>
      <c r="AF39" s="22">
        <f>+'[5]AGOSTO 2017'!$L$1379</f>
        <v>34516471</v>
      </c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3">
        <f t="shared" si="3"/>
        <v>0.33622171153846159</v>
      </c>
      <c r="AY39" s="22">
        <f t="shared" si="24"/>
        <v>17483529</v>
      </c>
      <c r="AZ39" s="22">
        <f t="shared" si="25"/>
        <v>0</v>
      </c>
      <c r="BA39" s="22">
        <f t="shared" si="25"/>
        <v>0</v>
      </c>
      <c r="BB39" s="22">
        <f t="shared" si="25"/>
        <v>5483529</v>
      </c>
      <c r="BC39" s="22">
        <f t="shared" si="25"/>
        <v>0</v>
      </c>
      <c r="BD39" s="22">
        <f t="shared" si="25"/>
        <v>0</v>
      </c>
      <c r="BE39" s="22">
        <f t="shared" si="25"/>
        <v>0</v>
      </c>
      <c r="BF39" s="22">
        <f t="shared" si="25"/>
        <v>0</v>
      </c>
      <c r="BG39" s="22">
        <f t="shared" si="25"/>
        <v>0</v>
      </c>
      <c r="BH39" s="22">
        <f t="shared" si="25"/>
        <v>0</v>
      </c>
      <c r="BI39" s="22">
        <f t="shared" si="25"/>
        <v>0</v>
      </c>
      <c r="BJ39" s="22">
        <f t="shared" si="25"/>
        <v>0</v>
      </c>
      <c r="BK39" s="22">
        <f t="shared" si="25"/>
        <v>0</v>
      </c>
      <c r="BL39" s="22">
        <f t="shared" si="25"/>
        <v>0</v>
      </c>
      <c r="BM39" s="22">
        <f t="shared" si="25"/>
        <v>0</v>
      </c>
      <c r="BN39" s="22">
        <f t="shared" si="25"/>
        <v>12000000</v>
      </c>
      <c r="BO39" s="22">
        <f t="shared" si="25"/>
        <v>0</v>
      </c>
      <c r="BP39" s="22">
        <f>+X39-AT39</f>
        <v>0</v>
      </c>
      <c r="BQ39" s="22">
        <f t="shared" si="26"/>
        <v>0</v>
      </c>
      <c r="BR39" s="22">
        <f t="shared" si="26"/>
        <v>0</v>
      </c>
      <c r="BS39" s="22">
        <f t="shared" si="26"/>
        <v>0</v>
      </c>
      <c r="BT39" s="23">
        <f t="shared" si="7"/>
        <v>0.66377828846153841</v>
      </c>
      <c r="BU39" s="22">
        <f t="shared" si="27"/>
        <v>34516471</v>
      </c>
      <c r="BV39" s="22"/>
      <c r="BW39" s="22"/>
      <c r="BX39" s="22">
        <f>+'[5]AGOSTO 2017'!$H$1377</f>
        <v>34516471</v>
      </c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3">
        <f t="shared" si="9"/>
        <v>0.33622171153846159</v>
      </c>
      <c r="CQ39" s="22">
        <f t="shared" si="28"/>
        <v>17483529</v>
      </c>
      <c r="CR39" s="22">
        <f t="shared" si="32"/>
        <v>0</v>
      </c>
      <c r="CS39" s="22">
        <f t="shared" si="29"/>
        <v>0</v>
      </c>
      <c r="CT39" s="22">
        <f t="shared" si="29"/>
        <v>5483529</v>
      </c>
      <c r="CU39" s="22">
        <f t="shared" si="29"/>
        <v>0</v>
      </c>
      <c r="CV39" s="22">
        <f t="shared" si="29"/>
        <v>0</v>
      </c>
      <c r="CW39" s="22">
        <f t="shared" si="29"/>
        <v>0</v>
      </c>
      <c r="CX39" s="22">
        <f t="shared" si="29"/>
        <v>0</v>
      </c>
      <c r="CY39" s="22">
        <f t="shared" si="29"/>
        <v>0</v>
      </c>
      <c r="CZ39" s="22">
        <f t="shared" si="29"/>
        <v>0</v>
      </c>
      <c r="DA39" s="22">
        <f t="shared" si="29"/>
        <v>0</v>
      </c>
      <c r="DB39" s="22">
        <f t="shared" si="29"/>
        <v>0</v>
      </c>
      <c r="DC39" s="22">
        <f t="shared" si="29"/>
        <v>0</v>
      </c>
      <c r="DD39" s="22">
        <f t="shared" si="29"/>
        <v>0</v>
      </c>
      <c r="DE39" s="22">
        <f t="shared" si="29"/>
        <v>0</v>
      </c>
      <c r="DF39" s="22">
        <f t="shared" si="29"/>
        <v>12000000</v>
      </c>
      <c r="DG39" s="22">
        <f t="shared" si="29"/>
        <v>0</v>
      </c>
      <c r="DH39" s="22">
        <f t="shared" si="29"/>
        <v>0</v>
      </c>
      <c r="DI39" s="22">
        <f t="shared" si="30"/>
        <v>0</v>
      </c>
      <c r="DJ39" s="22">
        <f t="shared" si="30"/>
        <v>0</v>
      </c>
      <c r="DK39" s="22">
        <f t="shared" si="30"/>
        <v>0</v>
      </c>
      <c r="DN39" s="152"/>
      <c r="DO39" s="26">
        <v>52000000</v>
      </c>
      <c r="DP39" s="26">
        <v>34516471</v>
      </c>
      <c r="DQ39" s="151">
        <f t="shared" si="31"/>
        <v>0.66377828846153841</v>
      </c>
    </row>
    <row r="40" spans="1:121" ht="31.5" hidden="1" customHeight="1" x14ac:dyDescent="0.25">
      <c r="A40" s="192"/>
      <c r="B40" s="189"/>
      <c r="C40" s="18" t="s">
        <v>144</v>
      </c>
      <c r="D40" s="19" t="s">
        <v>145</v>
      </c>
      <c r="E40" s="20">
        <v>410</v>
      </c>
      <c r="F40" s="21" t="s">
        <v>146</v>
      </c>
      <c r="G40" s="22">
        <f t="shared" si="22"/>
        <v>89000000</v>
      </c>
      <c r="H40" s="22"/>
      <c r="I40" s="22"/>
      <c r="J40" s="22">
        <v>70000000</v>
      </c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>
        <f>15000000</f>
        <v>15000000</v>
      </c>
      <c r="W40" s="22"/>
      <c r="X40" s="22"/>
      <c r="Y40" s="22"/>
      <c r="Z40" s="22"/>
      <c r="AA40" s="22">
        <v>4000000</v>
      </c>
      <c r="AB40" s="23">
        <f t="shared" si="1"/>
        <v>0.43536620224719103</v>
      </c>
      <c r="AC40" s="22">
        <f t="shared" si="23"/>
        <v>38747592</v>
      </c>
      <c r="AD40" s="22"/>
      <c r="AE40" s="22"/>
      <c r="AF40" s="22">
        <f>+'[5]AGOSTO 2017'!$L$1415</f>
        <v>37947592</v>
      </c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>
        <f>+'[5]AGOSTO 2017'!$AC$1415</f>
        <v>800000</v>
      </c>
      <c r="AX40" s="23">
        <f t="shared" si="3"/>
        <v>0.56463379775280897</v>
      </c>
      <c r="AY40" s="22">
        <f t="shared" si="24"/>
        <v>50252408</v>
      </c>
      <c r="AZ40" s="22">
        <f t="shared" si="25"/>
        <v>0</v>
      </c>
      <c r="BA40" s="22">
        <f t="shared" si="25"/>
        <v>0</v>
      </c>
      <c r="BB40" s="22">
        <f t="shared" si="25"/>
        <v>32052408</v>
      </c>
      <c r="BC40" s="22">
        <f t="shared" si="25"/>
        <v>0</v>
      </c>
      <c r="BD40" s="22">
        <f t="shared" si="25"/>
        <v>0</v>
      </c>
      <c r="BE40" s="22">
        <f t="shared" si="25"/>
        <v>0</v>
      </c>
      <c r="BF40" s="22">
        <f t="shared" si="25"/>
        <v>0</v>
      </c>
      <c r="BG40" s="22">
        <f t="shared" si="25"/>
        <v>0</v>
      </c>
      <c r="BH40" s="22">
        <f t="shared" si="25"/>
        <v>0</v>
      </c>
      <c r="BI40" s="22">
        <f t="shared" si="25"/>
        <v>0</v>
      </c>
      <c r="BJ40" s="22">
        <f t="shared" si="25"/>
        <v>0</v>
      </c>
      <c r="BK40" s="22">
        <f t="shared" si="25"/>
        <v>0</v>
      </c>
      <c r="BL40" s="22">
        <f t="shared" si="25"/>
        <v>0</v>
      </c>
      <c r="BM40" s="22">
        <f t="shared" si="25"/>
        <v>0</v>
      </c>
      <c r="BN40" s="22">
        <f t="shared" si="25"/>
        <v>15000000</v>
      </c>
      <c r="BO40" s="22">
        <f t="shared" ref="BO40:BO56" si="33">+W40-AS40</f>
        <v>0</v>
      </c>
      <c r="BP40" s="22">
        <f t="shared" si="26"/>
        <v>0</v>
      </c>
      <c r="BQ40" s="22">
        <f t="shared" si="26"/>
        <v>0</v>
      </c>
      <c r="BR40" s="22">
        <f t="shared" si="26"/>
        <v>0</v>
      </c>
      <c r="BS40" s="22">
        <f t="shared" si="26"/>
        <v>3200000</v>
      </c>
      <c r="BT40" s="23">
        <f t="shared" si="7"/>
        <v>0.42637743820224722</v>
      </c>
      <c r="BU40" s="22">
        <f t="shared" si="27"/>
        <v>37947592</v>
      </c>
      <c r="BV40" s="22"/>
      <c r="BW40" s="22"/>
      <c r="BX40" s="22">
        <f>+'[5]AGOSTO 2017'!$H$1413</f>
        <v>37947592</v>
      </c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3">
        <f t="shared" si="9"/>
        <v>0.57362256179775284</v>
      </c>
      <c r="CQ40" s="22">
        <f t="shared" si="28"/>
        <v>51052408</v>
      </c>
      <c r="CR40" s="22">
        <f t="shared" si="32"/>
        <v>0</v>
      </c>
      <c r="CS40" s="22">
        <f t="shared" si="29"/>
        <v>0</v>
      </c>
      <c r="CT40" s="22">
        <f t="shared" si="29"/>
        <v>32052408</v>
      </c>
      <c r="CU40" s="22">
        <f t="shared" si="29"/>
        <v>0</v>
      </c>
      <c r="CV40" s="22">
        <f t="shared" si="29"/>
        <v>0</v>
      </c>
      <c r="CW40" s="22">
        <f t="shared" si="29"/>
        <v>0</v>
      </c>
      <c r="CX40" s="22">
        <f t="shared" si="29"/>
        <v>0</v>
      </c>
      <c r="CY40" s="22">
        <f t="shared" si="29"/>
        <v>0</v>
      </c>
      <c r="CZ40" s="22">
        <f t="shared" si="29"/>
        <v>0</v>
      </c>
      <c r="DA40" s="22">
        <f t="shared" si="29"/>
        <v>0</v>
      </c>
      <c r="DB40" s="22">
        <f t="shared" si="29"/>
        <v>0</v>
      </c>
      <c r="DC40" s="22">
        <f t="shared" si="29"/>
        <v>0</v>
      </c>
      <c r="DD40" s="22">
        <f t="shared" si="29"/>
        <v>0</v>
      </c>
      <c r="DE40" s="22">
        <f t="shared" si="29"/>
        <v>0</v>
      </c>
      <c r="DF40" s="22">
        <f t="shared" si="29"/>
        <v>15000000</v>
      </c>
      <c r="DG40" s="22">
        <f t="shared" si="29"/>
        <v>0</v>
      </c>
      <c r="DH40" s="22">
        <f t="shared" ref="DH40:DH56" si="34">X40-CL40</f>
        <v>0</v>
      </c>
      <c r="DI40" s="22">
        <f t="shared" si="30"/>
        <v>0</v>
      </c>
      <c r="DJ40" s="22">
        <f t="shared" si="30"/>
        <v>0</v>
      </c>
      <c r="DK40" s="22">
        <f t="shared" si="30"/>
        <v>4000000</v>
      </c>
      <c r="DN40" s="152"/>
      <c r="DO40" s="26">
        <v>89000000</v>
      </c>
      <c r="DP40" s="26">
        <v>37947592</v>
      </c>
      <c r="DQ40" s="151">
        <f t="shared" si="31"/>
        <v>0.42637743820224722</v>
      </c>
    </row>
    <row r="41" spans="1:121" ht="23.25" hidden="1" customHeight="1" x14ac:dyDescent="0.25">
      <c r="A41" s="192"/>
      <c r="B41" s="189"/>
      <c r="C41" s="18" t="s">
        <v>147</v>
      </c>
      <c r="D41" s="19" t="s">
        <v>148</v>
      </c>
      <c r="E41" s="20">
        <v>410</v>
      </c>
      <c r="F41" s="21" t="s">
        <v>107</v>
      </c>
      <c r="G41" s="22">
        <f t="shared" si="22"/>
        <v>80000000</v>
      </c>
      <c r="H41" s="22"/>
      <c r="I41" s="22"/>
      <c r="J41" s="22">
        <v>80000000</v>
      </c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3">
        <f t="shared" si="1"/>
        <v>1</v>
      </c>
      <c r="AC41" s="22">
        <f t="shared" si="23"/>
        <v>80000000</v>
      </c>
      <c r="AD41" s="22"/>
      <c r="AE41" s="22"/>
      <c r="AF41" s="22">
        <f>+'[1]ENERO 2017'!$L$385</f>
        <v>80000000</v>
      </c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3">
        <f t="shared" si="3"/>
        <v>0</v>
      </c>
      <c r="AY41" s="22">
        <f t="shared" si="24"/>
        <v>0</v>
      </c>
      <c r="AZ41" s="22">
        <f t="shared" ref="AZ41:BN56" si="35">+H41-AD41</f>
        <v>0</v>
      </c>
      <c r="BA41" s="22">
        <f t="shared" si="35"/>
        <v>0</v>
      </c>
      <c r="BB41" s="22">
        <f t="shared" si="35"/>
        <v>0</v>
      </c>
      <c r="BC41" s="22">
        <f t="shared" si="35"/>
        <v>0</v>
      </c>
      <c r="BD41" s="22">
        <f t="shared" si="35"/>
        <v>0</v>
      </c>
      <c r="BE41" s="22">
        <f t="shared" si="35"/>
        <v>0</v>
      </c>
      <c r="BF41" s="22">
        <f t="shared" si="35"/>
        <v>0</v>
      </c>
      <c r="BG41" s="22">
        <f t="shared" si="35"/>
        <v>0</v>
      </c>
      <c r="BH41" s="22">
        <f t="shared" si="35"/>
        <v>0</v>
      </c>
      <c r="BI41" s="22">
        <f t="shared" si="35"/>
        <v>0</v>
      </c>
      <c r="BJ41" s="22">
        <f t="shared" si="35"/>
        <v>0</v>
      </c>
      <c r="BK41" s="22">
        <f t="shared" si="35"/>
        <v>0</v>
      </c>
      <c r="BL41" s="22">
        <f t="shared" si="35"/>
        <v>0</v>
      </c>
      <c r="BM41" s="22">
        <f t="shared" si="35"/>
        <v>0</v>
      </c>
      <c r="BN41" s="22">
        <f t="shared" si="35"/>
        <v>0</v>
      </c>
      <c r="BO41" s="22">
        <f t="shared" si="33"/>
        <v>0</v>
      </c>
      <c r="BP41" s="22">
        <f t="shared" si="26"/>
        <v>0</v>
      </c>
      <c r="BQ41" s="22">
        <f t="shared" si="26"/>
        <v>0</v>
      </c>
      <c r="BR41" s="22">
        <f t="shared" si="26"/>
        <v>0</v>
      </c>
      <c r="BS41" s="22">
        <f t="shared" si="26"/>
        <v>0</v>
      </c>
      <c r="BT41" s="23">
        <f t="shared" si="7"/>
        <v>0.76879322500000002</v>
      </c>
      <c r="BU41" s="22">
        <f t="shared" si="27"/>
        <v>61503458</v>
      </c>
      <c r="BV41" s="22"/>
      <c r="BW41" s="22"/>
      <c r="BX41" s="22">
        <f>+'[3]JUNIO 2017'!$H$966</f>
        <v>61503458</v>
      </c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3">
        <f t="shared" si="9"/>
        <v>0.23120677499999998</v>
      </c>
      <c r="CQ41" s="22">
        <f t="shared" si="28"/>
        <v>18496542</v>
      </c>
      <c r="CR41" s="22">
        <f t="shared" si="32"/>
        <v>0</v>
      </c>
      <c r="CS41" s="22">
        <f t="shared" si="32"/>
        <v>0</v>
      </c>
      <c r="CT41" s="22">
        <f t="shared" si="32"/>
        <v>18496542</v>
      </c>
      <c r="CU41" s="22">
        <f t="shared" si="32"/>
        <v>0</v>
      </c>
      <c r="CV41" s="22">
        <f t="shared" si="32"/>
        <v>0</v>
      </c>
      <c r="CW41" s="22">
        <f t="shared" si="32"/>
        <v>0</v>
      </c>
      <c r="CX41" s="22">
        <f t="shared" si="32"/>
        <v>0</v>
      </c>
      <c r="CY41" s="22">
        <f t="shared" si="32"/>
        <v>0</v>
      </c>
      <c r="CZ41" s="22">
        <f t="shared" si="32"/>
        <v>0</v>
      </c>
      <c r="DA41" s="22">
        <f t="shared" si="32"/>
        <v>0</v>
      </c>
      <c r="DB41" s="22">
        <f t="shared" si="32"/>
        <v>0</v>
      </c>
      <c r="DC41" s="22">
        <f t="shared" si="32"/>
        <v>0</v>
      </c>
      <c r="DD41" s="22">
        <f t="shared" si="32"/>
        <v>0</v>
      </c>
      <c r="DE41" s="22">
        <f t="shared" si="32"/>
        <v>0</v>
      </c>
      <c r="DF41" s="22">
        <f t="shared" si="32"/>
        <v>0</v>
      </c>
      <c r="DG41" s="22">
        <f t="shared" si="32"/>
        <v>0</v>
      </c>
      <c r="DH41" s="22">
        <f t="shared" si="34"/>
        <v>0</v>
      </c>
      <c r="DI41" s="22">
        <f t="shared" si="30"/>
        <v>0</v>
      </c>
      <c r="DJ41" s="22">
        <f t="shared" si="30"/>
        <v>0</v>
      </c>
      <c r="DK41" s="22">
        <f t="shared" si="30"/>
        <v>0</v>
      </c>
      <c r="DN41" s="152"/>
      <c r="DO41" s="26">
        <v>80000000</v>
      </c>
      <c r="DP41" s="26">
        <v>61503458</v>
      </c>
      <c r="DQ41" s="151">
        <f t="shared" si="31"/>
        <v>0.76879322500000002</v>
      </c>
    </row>
    <row r="42" spans="1:121" ht="30" hidden="1" x14ac:dyDescent="0.25">
      <c r="A42" s="192"/>
      <c r="B42" s="56"/>
      <c r="C42" s="18" t="s">
        <v>149</v>
      </c>
      <c r="D42" s="19" t="s">
        <v>150</v>
      </c>
      <c r="E42" s="20">
        <v>410</v>
      </c>
      <c r="F42" s="21" t="s">
        <v>151</v>
      </c>
      <c r="G42" s="22">
        <f t="shared" si="22"/>
        <v>3000000</v>
      </c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>
        <v>3000000</v>
      </c>
      <c r="AB42" s="23">
        <f t="shared" si="1"/>
        <v>0</v>
      </c>
      <c r="AC42" s="22">
        <f t="shared" si="23"/>
        <v>0</v>
      </c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3">
        <f t="shared" si="3"/>
        <v>1</v>
      </c>
      <c r="AY42" s="22">
        <f t="shared" si="24"/>
        <v>3000000</v>
      </c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>
        <f t="shared" si="26"/>
        <v>3000000</v>
      </c>
      <c r="BT42" s="23">
        <f t="shared" si="7"/>
        <v>0</v>
      </c>
      <c r="BU42" s="22">
        <f t="shared" si="27"/>
        <v>0</v>
      </c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3">
        <f t="shared" si="9"/>
        <v>1</v>
      </c>
      <c r="CQ42" s="22">
        <f t="shared" si="28"/>
        <v>3000000</v>
      </c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>
        <f t="shared" si="30"/>
        <v>3000000</v>
      </c>
      <c r="DN42" s="152"/>
      <c r="DO42" s="26">
        <v>3000000</v>
      </c>
      <c r="DP42" s="26">
        <v>0</v>
      </c>
      <c r="DQ42" s="151">
        <f t="shared" si="31"/>
        <v>0</v>
      </c>
    </row>
    <row r="43" spans="1:121" ht="33.75" hidden="1" customHeight="1" x14ac:dyDescent="0.25">
      <c r="A43" s="192"/>
      <c r="B43" s="191" t="s">
        <v>152</v>
      </c>
      <c r="C43" s="18" t="s">
        <v>153</v>
      </c>
      <c r="D43" s="19" t="s">
        <v>154</v>
      </c>
      <c r="E43" s="20">
        <v>410</v>
      </c>
      <c r="F43" s="21" t="s">
        <v>107</v>
      </c>
      <c r="G43" s="22">
        <f t="shared" si="22"/>
        <v>80000000</v>
      </c>
      <c r="H43" s="22"/>
      <c r="I43" s="22"/>
      <c r="J43" s="22">
        <v>80000000</v>
      </c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3">
        <f t="shared" si="1"/>
        <v>0.82938365000000003</v>
      </c>
      <c r="AC43" s="22">
        <f t="shared" si="23"/>
        <v>66350692</v>
      </c>
      <c r="AD43" s="22"/>
      <c r="AE43" s="22"/>
      <c r="AF43" s="22">
        <f>+'[5]AGOSTO 2017'!$L$1504</f>
        <v>66350692</v>
      </c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3">
        <f t="shared" si="3"/>
        <v>0.17061634999999997</v>
      </c>
      <c r="AY43" s="22">
        <f t="shared" si="24"/>
        <v>13649308</v>
      </c>
      <c r="AZ43" s="22">
        <f t="shared" si="35"/>
        <v>0</v>
      </c>
      <c r="BA43" s="22">
        <f t="shared" si="35"/>
        <v>0</v>
      </c>
      <c r="BB43" s="22">
        <f t="shared" si="35"/>
        <v>13649308</v>
      </c>
      <c r="BC43" s="22">
        <f t="shared" si="35"/>
        <v>0</v>
      </c>
      <c r="BD43" s="22">
        <f t="shared" si="35"/>
        <v>0</v>
      </c>
      <c r="BE43" s="22">
        <f t="shared" si="35"/>
        <v>0</v>
      </c>
      <c r="BF43" s="22">
        <f t="shared" si="35"/>
        <v>0</v>
      </c>
      <c r="BG43" s="22">
        <f t="shared" si="35"/>
        <v>0</v>
      </c>
      <c r="BH43" s="22">
        <f t="shared" si="35"/>
        <v>0</v>
      </c>
      <c r="BI43" s="22">
        <f t="shared" si="35"/>
        <v>0</v>
      </c>
      <c r="BJ43" s="22">
        <f t="shared" si="35"/>
        <v>0</v>
      </c>
      <c r="BK43" s="22">
        <f t="shared" si="35"/>
        <v>0</v>
      </c>
      <c r="BL43" s="22">
        <f t="shared" si="35"/>
        <v>0</v>
      </c>
      <c r="BM43" s="22">
        <f t="shared" si="35"/>
        <v>0</v>
      </c>
      <c r="BN43" s="22">
        <f t="shared" si="35"/>
        <v>0</v>
      </c>
      <c r="BO43" s="22">
        <f t="shared" si="33"/>
        <v>0</v>
      </c>
      <c r="BP43" s="22">
        <f t="shared" si="26"/>
        <v>0</v>
      </c>
      <c r="BQ43" s="22">
        <f t="shared" si="26"/>
        <v>0</v>
      </c>
      <c r="BR43" s="22">
        <f t="shared" si="26"/>
        <v>0</v>
      </c>
      <c r="BS43" s="22">
        <f t="shared" si="26"/>
        <v>0</v>
      </c>
      <c r="BT43" s="23">
        <f t="shared" si="7"/>
        <v>0.56646039999999998</v>
      </c>
      <c r="BU43" s="22">
        <f t="shared" si="27"/>
        <v>45316832</v>
      </c>
      <c r="BV43" s="22"/>
      <c r="BW43" s="22"/>
      <c r="BX43" s="22">
        <f>+'[5]AGOSTO 2017'!$H$1502</f>
        <v>45316832</v>
      </c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3">
        <f t="shared" si="9"/>
        <v>0.43353960000000002</v>
      </c>
      <c r="CQ43" s="22">
        <f t="shared" si="28"/>
        <v>34683168</v>
      </c>
      <c r="CR43" s="22">
        <f t="shared" si="32"/>
        <v>0</v>
      </c>
      <c r="CS43" s="22">
        <f t="shared" si="32"/>
        <v>0</v>
      </c>
      <c r="CT43" s="22">
        <f t="shared" si="32"/>
        <v>34683168</v>
      </c>
      <c r="CU43" s="22">
        <f t="shared" si="32"/>
        <v>0</v>
      </c>
      <c r="CV43" s="22">
        <f t="shared" si="32"/>
        <v>0</v>
      </c>
      <c r="CW43" s="22">
        <f t="shared" si="32"/>
        <v>0</v>
      </c>
      <c r="CX43" s="22">
        <f t="shared" si="32"/>
        <v>0</v>
      </c>
      <c r="CY43" s="22">
        <f t="shared" si="32"/>
        <v>0</v>
      </c>
      <c r="CZ43" s="22">
        <f t="shared" si="32"/>
        <v>0</v>
      </c>
      <c r="DA43" s="22">
        <f t="shared" si="32"/>
        <v>0</v>
      </c>
      <c r="DB43" s="22">
        <f t="shared" si="32"/>
        <v>0</v>
      </c>
      <c r="DC43" s="22">
        <f t="shared" si="32"/>
        <v>0</v>
      </c>
      <c r="DD43" s="22">
        <f t="shared" si="32"/>
        <v>0</v>
      </c>
      <c r="DE43" s="22">
        <f t="shared" si="32"/>
        <v>0</v>
      </c>
      <c r="DF43" s="22">
        <f t="shared" si="32"/>
        <v>0</v>
      </c>
      <c r="DG43" s="22">
        <f t="shared" si="32"/>
        <v>0</v>
      </c>
      <c r="DH43" s="22">
        <f t="shared" si="34"/>
        <v>0</v>
      </c>
      <c r="DI43" s="22">
        <f t="shared" si="30"/>
        <v>0</v>
      </c>
      <c r="DJ43" s="22">
        <f t="shared" si="30"/>
        <v>0</v>
      </c>
      <c r="DK43" s="22">
        <f t="shared" si="30"/>
        <v>0</v>
      </c>
      <c r="DN43" s="152"/>
      <c r="DO43" s="26">
        <v>80000000</v>
      </c>
      <c r="DP43" s="26">
        <v>45316832</v>
      </c>
      <c r="DQ43" s="151">
        <f t="shared" si="31"/>
        <v>0.56646039999999998</v>
      </c>
    </row>
    <row r="44" spans="1:121" ht="42" hidden="1" customHeight="1" x14ac:dyDescent="0.25">
      <c r="A44" s="192"/>
      <c r="B44" s="189"/>
      <c r="C44" s="18" t="s">
        <v>155</v>
      </c>
      <c r="D44" s="31" t="s">
        <v>156</v>
      </c>
      <c r="E44" s="20">
        <v>410</v>
      </c>
      <c r="F44" s="21" t="s">
        <v>157</v>
      </c>
      <c r="G44" s="22">
        <f t="shared" si="22"/>
        <v>35000000</v>
      </c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>
        <v>35000000</v>
      </c>
      <c r="AB44" s="23">
        <f t="shared" si="1"/>
        <v>0.66704234285714281</v>
      </c>
      <c r="AC44" s="22">
        <f t="shared" si="23"/>
        <v>23346482</v>
      </c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>
        <f>+'[5]AGOSTO 2017'!$AC$1534</f>
        <v>23346482</v>
      </c>
      <c r="AX44" s="23">
        <f t="shared" si="3"/>
        <v>0.33295765714285719</v>
      </c>
      <c r="AY44" s="22">
        <f t="shared" si="24"/>
        <v>11653518</v>
      </c>
      <c r="AZ44" s="22">
        <f t="shared" si="35"/>
        <v>0</v>
      </c>
      <c r="BA44" s="22">
        <f t="shared" si="35"/>
        <v>0</v>
      </c>
      <c r="BB44" s="22">
        <f t="shared" si="35"/>
        <v>0</v>
      </c>
      <c r="BC44" s="22">
        <f t="shared" si="35"/>
        <v>0</v>
      </c>
      <c r="BD44" s="22">
        <f t="shared" si="35"/>
        <v>0</v>
      </c>
      <c r="BE44" s="22">
        <f t="shared" si="35"/>
        <v>0</v>
      </c>
      <c r="BF44" s="22">
        <f t="shared" si="35"/>
        <v>0</v>
      </c>
      <c r="BG44" s="22">
        <f t="shared" si="35"/>
        <v>0</v>
      </c>
      <c r="BH44" s="22">
        <f t="shared" si="35"/>
        <v>0</v>
      </c>
      <c r="BI44" s="22">
        <f t="shared" si="35"/>
        <v>0</v>
      </c>
      <c r="BJ44" s="22">
        <f t="shared" si="35"/>
        <v>0</v>
      </c>
      <c r="BK44" s="22">
        <f t="shared" si="35"/>
        <v>0</v>
      </c>
      <c r="BL44" s="22">
        <f t="shared" si="35"/>
        <v>0</v>
      </c>
      <c r="BM44" s="22">
        <f t="shared" si="35"/>
        <v>0</v>
      </c>
      <c r="BN44" s="22">
        <f t="shared" si="35"/>
        <v>0</v>
      </c>
      <c r="BO44" s="22">
        <f t="shared" si="33"/>
        <v>0</v>
      </c>
      <c r="BP44" s="22">
        <f t="shared" si="26"/>
        <v>0</v>
      </c>
      <c r="BQ44" s="22">
        <f t="shared" si="26"/>
        <v>0</v>
      </c>
      <c r="BR44" s="22">
        <f t="shared" si="26"/>
        <v>0</v>
      </c>
      <c r="BS44" s="22">
        <f t="shared" si="26"/>
        <v>11653518</v>
      </c>
      <c r="BT44" s="23">
        <f t="shared" si="7"/>
        <v>0.66704234285714281</v>
      </c>
      <c r="BU44" s="22">
        <f t="shared" si="27"/>
        <v>23346482</v>
      </c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>
        <f>+'[5]AGOSTO 2017'!$H$1532</f>
        <v>23346482</v>
      </c>
      <c r="CP44" s="23">
        <f t="shared" si="9"/>
        <v>0.33295765714285719</v>
      </c>
      <c r="CQ44" s="22">
        <f t="shared" si="28"/>
        <v>11653518</v>
      </c>
      <c r="CR44" s="22">
        <f t="shared" si="32"/>
        <v>0</v>
      </c>
      <c r="CS44" s="22">
        <f t="shared" si="32"/>
        <v>0</v>
      </c>
      <c r="CT44" s="22">
        <f t="shared" si="32"/>
        <v>0</v>
      </c>
      <c r="CU44" s="22">
        <f t="shared" si="32"/>
        <v>0</v>
      </c>
      <c r="CV44" s="22">
        <f t="shared" si="32"/>
        <v>0</v>
      </c>
      <c r="CW44" s="22">
        <f t="shared" si="32"/>
        <v>0</v>
      </c>
      <c r="CX44" s="22">
        <f t="shared" si="32"/>
        <v>0</v>
      </c>
      <c r="CY44" s="22">
        <f t="shared" si="32"/>
        <v>0</v>
      </c>
      <c r="CZ44" s="22">
        <f t="shared" si="32"/>
        <v>0</v>
      </c>
      <c r="DA44" s="22">
        <f t="shared" si="32"/>
        <v>0</v>
      </c>
      <c r="DB44" s="22">
        <f t="shared" si="32"/>
        <v>0</v>
      </c>
      <c r="DC44" s="22">
        <f t="shared" si="32"/>
        <v>0</v>
      </c>
      <c r="DD44" s="22">
        <f t="shared" si="32"/>
        <v>0</v>
      </c>
      <c r="DE44" s="22">
        <f t="shared" si="32"/>
        <v>0</v>
      </c>
      <c r="DF44" s="22">
        <f t="shared" si="32"/>
        <v>0</v>
      </c>
      <c r="DG44" s="22">
        <f t="shared" si="32"/>
        <v>0</v>
      </c>
      <c r="DH44" s="22">
        <f t="shared" si="34"/>
        <v>0</v>
      </c>
      <c r="DI44" s="22">
        <f t="shared" si="30"/>
        <v>0</v>
      </c>
      <c r="DJ44" s="22">
        <f t="shared" si="30"/>
        <v>0</v>
      </c>
      <c r="DK44" s="22">
        <f t="shared" si="30"/>
        <v>11653518</v>
      </c>
      <c r="DN44" s="152"/>
      <c r="DO44" s="26">
        <v>35000000</v>
      </c>
      <c r="DP44" s="26">
        <v>23346482</v>
      </c>
      <c r="DQ44" s="151">
        <f t="shared" si="31"/>
        <v>0.66704234285714281</v>
      </c>
    </row>
    <row r="45" spans="1:121" ht="25.5" hidden="1" customHeight="1" x14ac:dyDescent="0.25">
      <c r="A45" s="192"/>
      <c r="B45" s="191" t="s">
        <v>158</v>
      </c>
      <c r="C45" s="18" t="s">
        <v>159</v>
      </c>
      <c r="D45" s="19" t="s">
        <v>160</v>
      </c>
      <c r="E45" s="20">
        <v>410</v>
      </c>
      <c r="F45" s="21" t="s">
        <v>107</v>
      </c>
      <c r="G45" s="22">
        <f t="shared" si="22"/>
        <v>3157557814</v>
      </c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>
        <f>2500000000+657557814</f>
        <v>3157557814</v>
      </c>
      <c r="T45" s="22"/>
      <c r="U45" s="22"/>
      <c r="V45" s="22"/>
      <c r="W45" s="22"/>
      <c r="X45" s="22"/>
      <c r="Y45" s="22"/>
      <c r="Z45" s="22"/>
      <c r="AA45" s="22"/>
      <c r="AB45" s="23">
        <f t="shared" si="1"/>
        <v>0.68741522969941726</v>
      </c>
      <c r="AC45" s="22">
        <f t="shared" si="23"/>
        <v>2170553330</v>
      </c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>
        <f>+'[6]JULIO 2017'!$U$1278</f>
        <v>2170553330</v>
      </c>
      <c r="AP45" s="22"/>
      <c r="AQ45" s="22"/>
      <c r="AR45" s="22"/>
      <c r="AS45" s="22"/>
      <c r="AT45" s="22"/>
      <c r="AU45" s="22"/>
      <c r="AV45" s="22"/>
      <c r="AW45" s="22"/>
      <c r="AX45" s="23">
        <f t="shared" si="3"/>
        <v>0.31258477030058274</v>
      </c>
      <c r="AY45" s="22">
        <f t="shared" si="24"/>
        <v>987004484</v>
      </c>
      <c r="AZ45" s="22">
        <f t="shared" si="35"/>
        <v>0</v>
      </c>
      <c r="BA45" s="22">
        <f t="shared" si="35"/>
        <v>0</v>
      </c>
      <c r="BB45" s="22">
        <f t="shared" si="35"/>
        <v>0</v>
      </c>
      <c r="BC45" s="22">
        <f t="shared" si="35"/>
        <v>0</v>
      </c>
      <c r="BD45" s="22">
        <f t="shared" si="35"/>
        <v>0</v>
      </c>
      <c r="BE45" s="22">
        <f t="shared" si="35"/>
        <v>0</v>
      </c>
      <c r="BF45" s="22">
        <f t="shared" si="35"/>
        <v>0</v>
      </c>
      <c r="BG45" s="22">
        <f t="shared" si="35"/>
        <v>0</v>
      </c>
      <c r="BH45" s="22">
        <f t="shared" si="35"/>
        <v>0</v>
      </c>
      <c r="BI45" s="22">
        <f t="shared" si="35"/>
        <v>0</v>
      </c>
      <c r="BJ45" s="22">
        <f t="shared" si="35"/>
        <v>0</v>
      </c>
      <c r="BK45" s="22">
        <f t="shared" si="35"/>
        <v>987004484</v>
      </c>
      <c r="BL45" s="22">
        <f t="shared" si="35"/>
        <v>0</v>
      </c>
      <c r="BM45" s="22">
        <f t="shared" si="35"/>
        <v>0</v>
      </c>
      <c r="BN45" s="22">
        <f t="shared" si="35"/>
        <v>0</v>
      </c>
      <c r="BO45" s="22">
        <f t="shared" si="33"/>
        <v>0</v>
      </c>
      <c r="BP45" s="22">
        <f t="shared" si="26"/>
        <v>0</v>
      </c>
      <c r="BQ45" s="22">
        <f t="shared" si="26"/>
        <v>0</v>
      </c>
      <c r="BR45" s="22">
        <f t="shared" si="26"/>
        <v>0</v>
      </c>
      <c r="BS45" s="22">
        <f t="shared" si="26"/>
        <v>0</v>
      </c>
      <c r="BT45" s="23">
        <f t="shared" si="7"/>
        <v>0.60288933477624684</v>
      </c>
      <c r="BU45" s="22">
        <f t="shared" si="27"/>
        <v>1903657930</v>
      </c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>
        <f>+'[5]AGOSTO 2017'!$H$1554</f>
        <v>1903657930</v>
      </c>
      <c r="CH45" s="22"/>
      <c r="CI45" s="22"/>
      <c r="CJ45" s="22"/>
      <c r="CK45" s="22"/>
      <c r="CL45" s="22"/>
      <c r="CM45" s="22"/>
      <c r="CN45" s="22"/>
      <c r="CO45" s="22"/>
      <c r="CP45" s="23">
        <f t="shared" si="9"/>
        <v>0.39711066522375316</v>
      </c>
      <c r="CQ45" s="22">
        <f t="shared" si="28"/>
        <v>1253899884</v>
      </c>
      <c r="CR45" s="22">
        <f t="shared" si="32"/>
        <v>0</v>
      </c>
      <c r="CS45" s="22">
        <f t="shared" si="32"/>
        <v>0</v>
      </c>
      <c r="CT45" s="22">
        <f t="shared" si="32"/>
        <v>0</v>
      </c>
      <c r="CU45" s="22">
        <f t="shared" si="32"/>
        <v>0</v>
      </c>
      <c r="CV45" s="22">
        <f t="shared" si="32"/>
        <v>0</v>
      </c>
      <c r="CW45" s="22">
        <f t="shared" si="32"/>
        <v>0</v>
      </c>
      <c r="CX45" s="22">
        <f t="shared" si="32"/>
        <v>0</v>
      </c>
      <c r="CY45" s="22">
        <f t="shared" si="32"/>
        <v>0</v>
      </c>
      <c r="CZ45" s="22">
        <f t="shared" si="32"/>
        <v>0</v>
      </c>
      <c r="DA45" s="22">
        <f t="shared" si="32"/>
        <v>0</v>
      </c>
      <c r="DB45" s="22">
        <f t="shared" si="32"/>
        <v>0</v>
      </c>
      <c r="DC45" s="22">
        <f t="shared" si="32"/>
        <v>1253899884</v>
      </c>
      <c r="DD45" s="22">
        <f t="shared" si="32"/>
        <v>0</v>
      </c>
      <c r="DE45" s="22">
        <f t="shared" si="32"/>
        <v>0</v>
      </c>
      <c r="DF45" s="22">
        <f t="shared" si="32"/>
        <v>0</v>
      </c>
      <c r="DG45" s="22">
        <f t="shared" si="32"/>
        <v>0</v>
      </c>
      <c r="DH45" s="22">
        <f t="shared" si="34"/>
        <v>0</v>
      </c>
      <c r="DI45" s="22">
        <f t="shared" si="30"/>
        <v>0</v>
      </c>
      <c r="DJ45" s="22">
        <f t="shared" si="30"/>
        <v>0</v>
      </c>
      <c r="DK45" s="22">
        <f t="shared" si="30"/>
        <v>0</v>
      </c>
      <c r="DN45" s="152"/>
      <c r="DO45" s="26">
        <v>3157557814</v>
      </c>
      <c r="DP45" s="26">
        <v>1903657930</v>
      </c>
      <c r="DQ45" s="151">
        <f t="shared" si="31"/>
        <v>0.60288933477624684</v>
      </c>
    </row>
    <row r="46" spans="1:121" ht="41.25" hidden="1" customHeight="1" x14ac:dyDescent="0.25">
      <c r="A46" s="192"/>
      <c r="B46" s="189"/>
      <c r="C46" s="18" t="s">
        <v>161</v>
      </c>
      <c r="D46" s="19" t="s">
        <v>162</v>
      </c>
      <c r="E46" s="20">
        <v>410</v>
      </c>
      <c r="F46" s="21" t="s">
        <v>107</v>
      </c>
      <c r="G46" s="22">
        <f t="shared" si="22"/>
        <v>252000000</v>
      </c>
      <c r="H46" s="22"/>
      <c r="I46" s="22">
        <f>50000000+25000000+7000000</f>
        <v>82000000</v>
      </c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>
        <f>80000000+90000000</f>
        <v>170000000</v>
      </c>
      <c r="W46" s="22"/>
      <c r="X46" s="22"/>
      <c r="Y46" s="22"/>
      <c r="Z46" s="22"/>
      <c r="AA46" s="22"/>
      <c r="AB46" s="23">
        <f t="shared" si="1"/>
        <v>0.99852913492063489</v>
      </c>
      <c r="AC46" s="22">
        <f t="shared" si="23"/>
        <v>251629342</v>
      </c>
      <c r="AD46" s="22"/>
      <c r="AE46" s="22">
        <f>+'[6]JULIO 2017'!$K$1735</f>
        <v>81629342</v>
      </c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>
        <f>+'[6]JULIO 2017'!$X$1735</f>
        <v>170000000</v>
      </c>
      <c r="AS46" s="22"/>
      <c r="AT46" s="22"/>
      <c r="AU46" s="22"/>
      <c r="AV46" s="22"/>
      <c r="AW46" s="22"/>
      <c r="AX46" s="23">
        <f t="shared" si="3"/>
        <v>1.4708650793651135E-3</v>
      </c>
      <c r="AY46" s="22">
        <f t="shared" si="24"/>
        <v>370658</v>
      </c>
      <c r="AZ46" s="22">
        <f t="shared" si="35"/>
        <v>0</v>
      </c>
      <c r="BA46" s="22">
        <f t="shared" si="35"/>
        <v>370658</v>
      </c>
      <c r="BB46" s="22">
        <f t="shared" si="35"/>
        <v>0</v>
      </c>
      <c r="BC46" s="22">
        <f t="shared" si="35"/>
        <v>0</v>
      </c>
      <c r="BD46" s="22">
        <f t="shared" si="35"/>
        <v>0</v>
      </c>
      <c r="BE46" s="22">
        <f t="shared" si="35"/>
        <v>0</v>
      </c>
      <c r="BF46" s="22">
        <f t="shared" si="35"/>
        <v>0</v>
      </c>
      <c r="BG46" s="22">
        <f t="shared" si="35"/>
        <v>0</v>
      </c>
      <c r="BH46" s="22">
        <f t="shared" si="35"/>
        <v>0</v>
      </c>
      <c r="BI46" s="22">
        <f t="shared" si="35"/>
        <v>0</v>
      </c>
      <c r="BJ46" s="22">
        <f t="shared" si="35"/>
        <v>0</v>
      </c>
      <c r="BK46" s="22">
        <f t="shared" si="35"/>
        <v>0</v>
      </c>
      <c r="BL46" s="22">
        <f t="shared" si="35"/>
        <v>0</v>
      </c>
      <c r="BM46" s="22">
        <f t="shared" si="35"/>
        <v>0</v>
      </c>
      <c r="BN46" s="22">
        <f t="shared" si="35"/>
        <v>0</v>
      </c>
      <c r="BO46" s="22">
        <f t="shared" si="33"/>
        <v>0</v>
      </c>
      <c r="BP46" s="22">
        <f t="shared" si="26"/>
        <v>0</v>
      </c>
      <c r="BQ46" s="22">
        <f t="shared" si="26"/>
        <v>0</v>
      </c>
      <c r="BR46" s="22">
        <f t="shared" si="26"/>
        <v>0</v>
      </c>
      <c r="BS46" s="22">
        <f t="shared" si="26"/>
        <v>0</v>
      </c>
      <c r="BT46" s="23">
        <f t="shared" si="7"/>
        <v>0.32392584126984125</v>
      </c>
      <c r="BU46" s="22">
        <f t="shared" si="27"/>
        <v>81629312</v>
      </c>
      <c r="BV46" s="22"/>
      <c r="BW46" s="22">
        <f>+'[6]JULIO 2017'!$H$1733</f>
        <v>81629312</v>
      </c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3">
        <f t="shared" si="9"/>
        <v>0.67607415873015875</v>
      </c>
      <c r="CQ46" s="22">
        <f t="shared" si="28"/>
        <v>170370688</v>
      </c>
      <c r="CR46" s="22">
        <f t="shared" si="32"/>
        <v>0</v>
      </c>
      <c r="CS46" s="22">
        <f t="shared" si="32"/>
        <v>370688</v>
      </c>
      <c r="CT46" s="22">
        <f t="shared" si="32"/>
        <v>0</v>
      </c>
      <c r="CU46" s="22">
        <f t="shared" si="32"/>
        <v>0</v>
      </c>
      <c r="CV46" s="22">
        <f t="shared" si="32"/>
        <v>0</v>
      </c>
      <c r="CW46" s="22">
        <f t="shared" si="32"/>
        <v>0</v>
      </c>
      <c r="CX46" s="22">
        <f t="shared" si="32"/>
        <v>0</v>
      </c>
      <c r="CY46" s="22">
        <f t="shared" si="32"/>
        <v>0</v>
      </c>
      <c r="CZ46" s="22">
        <f t="shared" si="32"/>
        <v>0</v>
      </c>
      <c r="DA46" s="22">
        <f t="shared" si="32"/>
        <v>0</v>
      </c>
      <c r="DB46" s="22">
        <f t="shared" si="32"/>
        <v>0</v>
      </c>
      <c r="DC46" s="22">
        <f t="shared" si="32"/>
        <v>0</v>
      </c>
      <c r="DD46" s="22">
        <f t="shared" si="32"/>
        <v>0</v>
      </c>
      <c r="DE46" s="22">
        <f t="shared" si="32"/>
        <v>0</v>
      </c>
      <c r="DF46" s="22">
        <f t="shared" si="32"/>
        <v>170000000</v>
      </c>
      <c r="DG46" s="22">
        <f t="shared" si="32"/>
        <v>0</v>
      </c>
      <c r="DH46" s="22">
        <f t="shared" si="34"/>
        <v>0</v>
      </c>
      <c r="DI46" s="22">
        <f t="shared" si="30"/>
        <v>0</v>
      </c>
      <c r="DJ46" s="22">
        <f t="shared" si="30"/>
        <v>0</v>
      </c>
      <c r="DK46" s="22">
        <f t="shared" si="30"/>
        <v>0</v>
      </c>
      <c r="DN46" s="152"/>
      <c r="DO46" s="26">
        <v>252000000</v>
      </c>
      <c r="DP46" s="26">
        <v>81629312</v>
      </c>
      <c r="DQ46" s="151">
        <f t="shared" si="31"/>
        <v>0.32392584126984125</v>
      </c>
    </row>
    <row r="47" spans="1:121" ht="54.75" hidden="1" customHeight="1" x14ac:dyDescent="0.25">
      <c r="A47" s="58"/>
      <c r="B47" s="59" t="s">
        <v>163</v>
      </c>
      <c r="C47" s="18" t="s">
        <v>164</v>
      </c>
      <c r="D47" s="19" t="s">
        <v>165</v>
      </c>
      <c r="E47" s="20">
        <v>410</v>
      </c>
      <c r="F47" s="21" t="s">
        <v>107</v>
      </c>
      <c r="G47" s="22">
        <f t="shared" si="22"/>
        <v>1000000</v>
      </c>
      <c r="H47" s="49"/>
      <c r="I47" s="22"/>
      <c r="J47" s="22"/>
      <c r="K47" s="49"/>
      <c r="L47" s="49"/>
      <c r="M47" s="22"/>
      <c r="N47" s="22"/>
      <c r="O47" s="22"/>
      <c r="P47" s="22"/>
      <c r="Q47" s="22"/>
      <c r="R47" s="22"/>
      <c r="S47" s="22"/>
      <c r="T47" s="22"/>
      <c r="U47" s="22"/>
      <c r="V47" s="22">
        <v>1000000</v>
      </c>
      <c r="W47" s="22"/>
      <c r="X47" s="22"/>
      <c r="Y47" s="22"/>
      <c r="Z47" s="22"/>
      <c r="AA47" s="22"/>
      <c r="AB47" s="23">
        <f>+AC47/G47</f>
        <v>0</v>
      </c>
      <c r="AC47" s="22">
        <f t="shared" si="23"/>
        <v>0</v>
      </c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3">
        <f t="shared" si="3"/>
        <v>1</v>
      </c>
      <c r="AY47" s="22">
        <f t="shared" si="24"/>
        <v>1000000</v>
      </c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>
        <f t="shared" si="35"/>
        <v>1000000</v>
      </c>
      <c r="BO47" s="22"/>
      <c r="BP47" s="22"/>
      <c r="BQ47" s="22"/>
      <c r="BR47" s="22"/>
      <c r="BS47" s="22"/>
      <c r="BT47" s="23">
        <f t="shared" si="7"/>
        <v>0</v>
      </c>
      <c r="BU47" s="22">
        <f t="shared" si="27"/>
        <v>0</v>
      </c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3">
        <f t="shared" si="9"/>
        <v>1</v>
      </c>
      <c r="CQ47" s="22">
        <f t="shared" si="28"/>
        <v>1000000</v>
      </c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>
        <f t="shared" si="32"/>
        <v>1000000</v>
      </c>
      <c r="DG47" s="22"/>
      <c r="DH47" s="22"/>
      <c r="DI47" s="22"/>
      <c r="DJ47" s="22"/>
      <c r="DK47" s="22"/>
      <c r="DN47" s="152"/>
      <c r="DO47" s="26">
        <v>1000000</v>
      </c>
      <c r="DP47" s="26">
        <v>0</v>
      </c>
      <c r="DQ47" s="151">
        <f t="shared" si="31"/>
        <v>0</v>
      </c>
    </row>
    <row r="48" spans="1:121" ht="90" hidden="1" x14ac:dyDescent="0.25">
      <c r="A48" s="58"/>
      <c r="B48" s="56" t="s">
        <v>166</v>
      </c>
      <c r="C48" s="18" t="s">
        <v>167</v>
      </c>
      <c r="D48" s="19" t="s">
        <v>168</v>
      </c>
      <c r="E48" s="20">
        <v>410</v>
      </c>
      <c r="F48" s="21" t="s">
        <v>107</v>
      </c>
      <c r="G48" s="22">
        <f>SUM(H48:AA48)</f>
        <v>1000000</v>
      </c>
      <c r="H48" s="49"/>
      <c r="I48" s="22"/>
      <c r="J48" s="22"/>
      <c r="K48" s="49"/>
      <c r="L48" s="49"/>
      <c r="M48" s="22"/>
      <c r="N48" s="22"/>
      <c r="O48" s="22"/>
      <c r="P48" s="22"/>
      <c r="Q48" s="22"/>
      <c r="R48" s="22"/>
      <c r="S48" s="22"/>
      <c r="T48" s="22"/>
      <c r="U48" s="22"/>
      <c r="V48" s="22">
        <v>1000000</v>
      </c>
      <c r="W48" s="22"/>
      <c r="X48" s="22"/>
      <c r="Y48" s="22"/>
      <c r="Z48" s="22"/>
      <c r="AA48" s="22"/>
      <c r="AB48" s="23">
        <f>+AC48/G48</f>
        <v>0</v>
      </c>
      <c r="AC48" s="22">
        <f t="shared" si="23"/>
        <v>0</v>
      </c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3">
        <f t="shared" si="3"/>
        <v>1</v>
      </c>
      <c r="AY48" s="22">
        <f t="shared" si="24"/>
        <v>1000000</v>
      </c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>
        <f t="shared" si="35"/>
        <v>1000000</v>
      </c>
      <c r="BO48" s="22"/>
      <c r="BP48" s="22"/>
      <c r="BQ48" s="22"/>
      <c r="BR48" s="22"/>
      <c r="BS48" s="22"/>
      <c r="BT48" s="23">
        <f t="shared" si="7"/>
        <v>0</v>
      </c>
      <c r="BU48" s="22">
        <f t="shared" si="27"/>
        <v>0</v>
      </c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3">
        <f t="shared" si="9"/>
        <v>1</v>
      </c>
      <c r="CQ48" s="22">
        <f t="shared" si="28"/>
        <v>1000000</v>
      </c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>
        <f t="shared" si="32"/>
        <v>1000000</v>
      </c>
      <c r="DG48" s="22"/>
      <c r="DH48" s="22"/>
      <c r="DI48" s="22"/>
      <c r="DJ48" s="22"/>
      <c r="DK48" s="22"/>
      <c r="DN48" s="152"/>
      <c r="DO48" s="26">
        <v>1000000</v>
      </c>
      <c r="DP48" s="26">
        <v>0</v>
      </c>
      <c r="DQ48" s="151">
        <f t="shared" si="31"/>
        <v>0</v>
      </c>
    </row>
    <row r="49" spans="1:121" ht="36" hidden="1" customHeight="1" x14ac:dyDescent="0.25">
      <c r="A49" s="192"/>
      <c r="B49" s="191" t="s">
        <v>169</v>
      </c>
      <c r="C49" s="18" t="s">
        <v>170</v>
      </c>
      <c r="D49" s="19" t="s">
        <v>171</v>
      </c>
      <c r="E49" s="20">
        <v>410</v>
      </c>
      <c r="F49" s="21" t="s">
        <v>107</v>
      </c>
      <c r="G49" s="22">
        <f t="shared" si="22"/>
        <v>80000000</v>
      </c>
      <c r="H49" s="49"/>
      <c r="I49" s="22">
        <v>50000000</v>
      </c>
      <c r="J49" s="22"/>
      <c r="K49" s="49"/>
      <c r="L49" s="49"/>
      <c r="M49" s="33"/>
      <c r="N49" s="33"/>
      <c r="O49" s="33"/>
      <c r="P49" s="33"/>
      <c r="Q49" s="22"/>
      <c r="R49" s="22"/>
      <c r="S49" s="22"/>
      <c r="T49" s="22"/>
      <c r="U49" s="22"/>
      <c r="V49" s="22">
        <v>30000000</v>
      </c>
      <c r="W49" s="22"/>
      <c r="X49" s="22"/>
      <c r="Y49" s="22"/>
      <c r="Z49" s="22"/>
      <c r="AA49" s="22"/>
      <c r="AB49" s="23">
        <f t="shared" si="1"/>
        <v>0.68225716250000001</v>
      </c>
      <c r="AC49" s="22">
        <f t="shared" si="23"/>
        <v>54580573</v>
      </c>
      <c r="AD49" s="22"/>
      <c r="AE49" s="22">
        <f>+'[6]JULIO 2017'!$K$1774</f>
        <v>48967535</v>
      </c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>
        <f>+'[5]AGOSTO 2017'!$X$2060</f>
        <v>5613038</v>
      </c>
      <c r="AS49" s="22"/>
      <c r="AT49" s="22"/>
      <c r="AU49" s="22"/>
      <c r="AV49" s="22"/>
      <c r="AW49" s="22"/>
      <c r="AX49" s="23">
        <f t="shared" si="3"/>
        <v>0.31774283749999999</v>
      </c>
      <c r="AY49" s="22">
        <f t="shared" si="24"/>
        <v>25419427</v>
      </c>
      <c r="AZ49" s="22">
        <f t="shared" si="35"/>
        <v>0</v>
      </c>
      <c r="BA49" s="22">
        <f t="shared" si="35"/>
        <v>1032465</v>
      </c>
      <c r="BB49" s="22">
        <f t="shared" si="35"/>
        <v>0</v>
      </c>
      <c r="BC49" s="22">
        <f t="shared" si="35"/>
        <v>0</v>
      </c>
      <c r="BD49" s="22">
        <f t="shared" si="35"/>
        <v>0</v>
      </c>
      <c r="BE49" s="22">
        <f t="shared" si="35"/>
        <v>0</v>
      </c>
      <c r="BF49" s="22">
        <f t="shared" si="35"/>
        <v>0</v>
      </c>
      <c r="BG49" s="22">
        <f t="shared" si="35"/>
        <v>0</v>
      </c>
      <c r="BH49" s="22">
        <f t="shared" si="35"/>
        <v>0</v>
      </c>
      <c r="BI49" s="22">
        <f t="shared" si="35"/>
        <v>0</v>
      </c>
      <c r="BJ49" s="22">
        <f t="shared" si="35"/>
        <v>0</v>
      </c>
      <c r="BK49" s="22">
        <f t="shared" si="35"/>
        <v>0</v>
      </c>
      <c r="BL49" s="22">
        <f t="shared" si="35"/>
        <v>0</v>
      </c>
      <c r="BM49" s="22">
        <f t="shared" si="35"/>
        <v>0</v>
      </c>
      <c r="BN49" s="22">
        <f t="shared" si="35"/>
        <v>24386962</v>
      </c>
      <c r="BO49" s="22">
        <f t="shared" si="33"/>
        <v>0</v>
      </c>
      <c r="BP49" s="22">
        <f t="shared" si="26"/>
        <v>0</v>
      </c>
      <c r="BQ49" s="22">
        <f t="shared" si="26"/>
        <v>0</v>
      </c>
      <c r="BR49" s="22">
        <f t="shared" si="26"/>
        <v>0</v>
      </c>
      <c r="BS49" s="22">
        <f t="shared" si="26"/>
        <v>0</v>
      </c>
      <c r="BT49" s="23">
        <f t="shared" si="7"/>
        <v>0.68225716250000001</v>
      </c>
      <c r="BU49" s="22">
        <f t="shared" si="27"/>
        <v>54580573</v>
      </c>
      <c r="BV49" s="22"/>
      <c r="BW49" s="22">
        <f>+'[6]JULIO 2017'!$K$1774</f>
        <v>48967535</v>
      </c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>
        <f>+'[5]AGOSTO 2017'!$H$2058-BW49</f>
        <v>5613038</v>
      </c>
      <c r="CK49" s="22"/>
      <c r="CL49" s="22"/>
      <c r="CM49" s="22"/>
      <c r="CN49" s="22"/>
      <c r="CO49" s="22"/>
      <c r="CP49" s="23">
        <f t="shared" si="9"/>
        <v>0.31774283749999999</v>
      </c>
      <c r="CQ49" s="22">
        <f t="shared" si="28"/>
        <v>25419427</v>
      </c>
      <c r="CR49" s="22">
        <f t="shared" si="32"/>
        <v>0</v>
      </c>
      <c r="CS49" s="22">
        <f t="shared" si="32"/>
        <v>1032465</v>
      </c>
      <c r="CT49" s="22">
        <f t="shared" si="32"/>
        <v>0</v>
      </c>
      <c r="CU49" s="22">
        <f t="shared" si="32"/>
        <v>0</v>
      </c>
      <c r="CV49" s="22">
        <f t="shared" si="32"/>
        <v>0</v>
      </c>
      <c r="CW49" s="22">
        <f t="shared" si="32"/>
        <v>0</v>
      </c>
      <c r="CX49" s="22">
        <f t="shared" si="32"/>
        <v>0</v>
      </c>
      <c r="CY49" s="22">
        <f t="shared" si="32"/>
        <v>0</v>
      </c>
      <c r="CZ49" s="22">
        <f t="shared" si="32"/>
        <v>0</v>
      </c>
      <c r="DA49" s="22">
        <f t="shared" si="32"/>
        <v>0</v>
      </c>
      <c r="DB49" s="22">
        <f t="shared" si="32"/>
        <v>0</v>
      </c>
      <c r="DC49" s="22">
        <f t="shared" si="32"/>
        <v>0</v>
      </c>
      <c r="DD49" s="22">
        <f t="shared" si="32"/>
        <v>0</v>
      </c>
      <c r="DE49" s="22">
        <f t="shared" si="32"/>
        <v>0</v>
      </c>
      <c r="DF49" s="22">
        <f t="shared" si="32"/>
        <v>24386962</v>
      </c>
      <c r="DG49" s="22">
        <f t="shared" si="32"/>
        <v>0</v>
      </c>
      <c r="DH49" s="22">
        <f t="shared" si="34"/>
        <v>0</v>
      </c>
      <c r="DI49" s="22">
        <f t="shared" si="30"/>
        <v>0</v>
      </c>
      <c r="DJ49" s="22">
        <f t="shared" si="30"/>
        <v>0</v>
      </c>
      <c r="DK49" s="22">
        <f t="shared" si="30"/>
        <v>0</v>
      </c>
      <c r="DL49" s="47"/>
      <c r="DN49" s="152"/>
      <c r="DO49" s="26">
        <v>80000000</v>
      </c>
      <c r="DP49" s="26">
        <v>54580573</v>
      </c>
      <c r="DQ49" s="151">
        <f t="shared" si="31"/>
        <v>0.68225716250000001</v>
      </c>
    </row>
    <row r="50" spans="1:121" ht="33.75" hidden="1" customHeight="1" x14ac:dyDescent="0.25">
      <c r="A50" s="192"/>
      <c r="B50" s="190"/>
      <c r="C50" s="18" t="s">
        <v>172</v>
      </c>
      <c r="D50" s="19" t="s">
        <v>173</v>
      </c>
      <c r="E50" s="20">
        <v>410</v>
      </c>
      <c r="F50" s="21" t="s">
        <v>151</v>
      </c>
      <c r="G50" s="22">
        <f t="shared" si="22"/>
        <v>50000000</v>
      </c>
      <c r="H50" s="49"/>
      <c r="I50" s="22"/>
      <c r="J50" s="22">
        <v>50000000</v>
      </c>
      <c r="K50" s="49"/>
      <c r="L50" s="49"/>
      <c r="M50" s="33"/>
      <c r="N50" s="33"/>
      <c r="O50" s="33"/>
      <c r="P50" s="33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>
        <f>5000000-5000000</f>
        <v>0</v>
      </c>
      <c r="AB50" s="23">
        <f t="shared" si="1"/>
        <v>0.97217120000000001</v>
      </c>
      <c r="AC50" s="22">
        <f t="shared" si="23"/>
        <v>48608560</v>
      </c>
      <c r="AD50" s="22"/>
      <c r="AE50" s="22"/>
      <c r="AF50" s="22">
        <f>+'[6]JULIO 2017'!$L$1803</f>
        <v>48608560</v>
      </c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3">
        <f t="shared" si="3"/>
        <v>2.7828799999999987E-2</v>
      </c>
      <c r="AY50" s="22">
        <f t="shared" si="24"/>
        <v>1391440</v>
      </c>
      <c r="AZ50" s="22">
        <f t="shared" si="35"/>
        <v>0</v>
      </c>
      <c r="BA50" s="22">
        <f t="shared" si="35"/>
        <v>0</v>
      </c>
      <c r="BB50" s="22">
        <f t="shared" si="35"/>
        <v>1391440</v>
      </c>
      <c r="BC50" s="22">
        <f t="shared" si="35"/>
        <v>0</v>
      </c>
      <c r="BD50" s="22">
        <f t="shared" si="35"/>
        <v>0</v>
      </c>
      <c r="BE50" s="22">
        <f t="shared" si="35"/>
        <v>0</v>
      </c>
      <c r="BF50" s="22">
        <f t="shared" si="35"/>
        <v>0</v>
      </c>
      <c r="BG50" s="22">
        <f t="shared" si="35"/>
        <v>0</v>
      </c>
      <c r="BH50" s="22">
        <f t="shared" si="35"/>
        <v>0</v>
      </c>
      <c r="BI50" s="22">
        <f t="shared" si="35"/>
        <v>0</v>
      </c>
      <c r="BJ50" s="22">
        <f t="shared" si="35"/>
        <v>0</v>
      </c>
      <c r="BK50" s="22">
        <f t="shared" si="35"/>
        <v>0</v>
      </c>
      <c r="BL50" s="22">
        <f t="shared" si="35"/>
        <v>0</v>
      </c>
      <c r="BM50" s="22">
        <f t="shared" si="35"/>
        <v>0</v>
      </c>
      <c r="BN50" s="22">
        <f t="shared" si="35"/>
        <v>0</v>
      </c>
      <c r="BO50" s="22">
        <f t="shared" si="33"/>
        <v>0</v>
      </c>
      <c r="BP50" s="22">
        <f t="shared" si="26"/>
        <v>0</v>
      </c>
      <c r="BQ50" s="22">
        <f t="shared" si="26"/>
        <v>0</v>
      </c>
      <c r="BR50" s="22">
        <f t="shared" si="26"/>
        <v>0</v>
      </c>
      <c r="BS50" s="22">
        <f t="shared" si="26"/>
        <v>0</v>
      </c>
      <c r="BT50" s="23">
        <f t="shared" si="7"/>
        <v>0.82217123999999997</v>
      </c>
      <c r="BU50" s="22">
        <f t="shared" si="27"/>
        <v>41108562</v>
      </c>
      <c r="BV50" s="22"/>
      <c r="BW50" s="22"/>
      <c r="BX50" s="22">
        <f>+'[5]AGOSTO 2017'!$H$2091</f>
        <v>41108562</v>
      </c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3">
        <f t="shared" si="9"/>
        <v>0.17782876000000003</v>
      </c>
      <c r="CQ50" s="22">
        <f t="shared" si="28"/>
        <v>8891438</v>
      </c>
      <c r="CR50" s="22">
        <f t="shared" si="32"/>
        <v>0</v>
      </c>
      <c r="CS50" s="22">
        <f t="shared" si="32"/>
        <v>0</v>
      </c>
      <c r="CT50" s="22">
        <f t="shared" si="32"/>
        <v>8891438</v>
      </c>
      <c r="CU50" s="22">
        <f t="shared" si="32"/>
        <v>0</v>
      </c>
      <c r="CV50" s="22">
        <f t="shared" si="32"/>
        <v>0</v>
      </c>
      <c r="CW50" s="22">
        <f t="shared" si="32"/>
        <v>0</v>
      </c>
      <c r="CX50" s="22">
        <f t="shared" si="32"/>
        <v>0</v>
      </c>
      <c r="CY50" s="22">
        <f t="shared" si="32"/>
        <v>0</v>
      </c>
      <c r="CZ50" s="22">
        <f t="shared" si="32"/>
        <v>0</v>
      </c>
      <c r="DA50" s="22">
        <f t="shared" si="32"/>
        <v>0</v>
      </c>
      <c r="DB50" s="22">
        <f t="shared" si="32"/>
        <v>0</v>
      </c>
      <c r="DC50" s="22">
        <f t="shared" si="32"/>
        <v>0</v>
      </c>
      <c r="DD50" s="22">
        <f t="shared" si="32"/>
        <v>0</v>
      </c>
      <c r="DE50" s="22">
        <f t="shared" si="32"/>
        <v>0</v>
      </c>
      <c r="DF50" s="22">
        <f t="shared" si="32"/>
        <v>0</v>
      </c>
      <c r="DG50" s="22">
        <f t="shared" si="32"/>
        <v>0</v>
      </c>
      <c r="DH50" s="22">
        <f t="shared" si="34"/>
        <v>0</v>
      </c>
      <c r="DI50" s="22">
        <f t="shared" si="30"/>
        <v>0</v>
      </c>
      <c r="DJ50" s="22">
        <f t="shared" si="30"/>
        <v>0</v>
      </c>
      <c r="DK50" s="22">
        <f t="shared" si="30"/>
        <v>0</v>
      </c>
      <c r="DL50" s="47"/>
      <c r="DN50" s="152"/>
      <c r="DO50" s="26">
        <v>50000000</v>
      </c>
      <c r="DP50" s="26">
        <v>41108562</v>
      </c>
      <c r="DQ50" s="151">
        <f t="shared" si="31"/>
        <v>0.82217123999999997</v>
      </c>
    </row>
    <row r="51" spans="1:121" ht="51.75" hidden="1" customHeight="1" x14ac:dyDescent="0.25">
      <c r="A51" s="192"/>
      <c r="B51" s="191" t="s">
        <v>174</v>
      </c>
      <c r="C51" s="18" t="s">
        <v>175</v>
      </c>
      <c r="D51" s="19" t="s">
        <v>176</v>
      </c>
      <c r="E51" s="20">
        <v>410</v>
      </c>
      <c r="F51" s="21" t="s">
        <v>177</v>
      </c>
      <c r="G51" s="22">
        <f t="shared" si="22"/>
        <v>40000000</v>
      </c>
      <c r="H51" s="33"/>
      <c r="I51" s="22"/>
      <c r="J51" s="22">
        <v>20000000</v>
      </c>
      <c r="K51" s="22"/>
      <c r="L51" s="33"/>
      <c r="M51" s="33"/>
      <c r="N51" s="33"/>
      <c r="O51" s="33"/>
      <c r="P51" s="33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>
        <v>20000000</v>
      </c>
      <c r="AB51" s="23">
        <f t="shared" si="1"/>
        <v>0.36</v>
      </c>
      <c r="AC51" s="22">
        <f t="shared" si="23"/>
        <v>14400000</v>
      </c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>
        <f>+'[3]JUNIO 2017'!$AC$1224</f>
        <v>14400000</v>
      </c>
      <c r="AX51" s="23">
        <f t="shared" si="3"/>
        <v>0.64</v>
      </c>
      <c r="AY51" s="22">
        <f t="shared" si="24"/>
        <v>25600000</v>
      </c>
      <c r="AZ51" s="22">
        <f t="shared" si="35"/>
        <v>0</v>
      </c>
      <c r="BA51" s="22">
        <f t="shared" si="35"/>
        <v>0</v>
      </c>
      <c r="BB51" s="22">
        <f t="shared" si="35"/>
        <v>20000000</v>
      </c>
      <c r="BC51" s="22">
        <f t="shared" si="35"/>
        <v>0</v>
      </c>
      <c r="BD51" s="22">
        <f t="shared" si="35"/>
        <v>0</v>
      </c>
      <c r="BE51" s="22">
        <f t="shared" si="35"/>
        <v>0</v>
      </c>
      <c r="BF51" s="22">
        <f t="shared" si="35"/>
        <v>0</v>
      </c>
      <c r="BG51" s="22">
        <f t="shared" si="35"/>
        <v>0</v>
      </c>
      <c r="BH51" s="22">
        <f t="shared" si="35"/>
        <v>0</v>
      </c>
      <c r="BI51" s="22">
        <f t="shared" si="35"/>
        <v>0</v>
      </c>
      <c r="BJ51" s="22">
        <f t="shared" si="35"/>
        <v>0</v>
      </c>
      <c r="BK51" s="22">
        <f t="shared" si="35"/>
        <v>0</v>
      </c>
      <c r="BL51" s="22">
        <f t="shared" si="35"/>
        <v>0</v>
      </c>
      <c r="BM51" s="22">
        <f t="shared" si="35"/>
        <v>0</v>
      </c>
      <c r="BN51" s="22">
        <f t="shared" si="35"/>
        <v>0</v>
      </c>
      <c r="BO51" s="22">
        <f t="shared" si="33"/>
        <v>0</v>
      </c>
      <c r="BP51" s="22">
        <f t="shared" si="26"/>
        <v>0</v>
      </c>
      <c r="BQ51" s="22">
        <f t="shared" si="26"/>
        <v>0</v>
      </c>
      <c r="BR51" s="22">
        <f t="shared" si="26"/>
        <v>0</v>
      </c>
      <c r="BS51" s="22">
        <f t="shared" si="26"/>
        <v>5600000</v>
      </c>
      <c r="BT51" s="23">
        <f t="shared" si="7"/>
        <v>0.36</v>
      </c>
      <c r="BU51" s="22">
        <f t="shared" si="27"/>
        <v>14400000</v>
      </c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>
        <f>+'[5]AGOSTO 2017'!$H$2102</f>
        <v>14400000</v>
      </c>
      <c r="CP51" s="23">
        <f t="shared" si="9"/>
        <v>0.64</v>
      </c>
      <c r="CQ51" s="22">
        <f t="shared" si="28"/>
        <v>25600000</v>
      </c>
      <c r="CR51" s="22">
        <f t="shared" si="32"/>
        <v>0</v>
      </c>
      <c r="CS51" s="22">
        <f t="shared" si="32"/>
        <v>0</v>
      </c>
      <c r="CT51" s="22">
        <f t="shared" si="32"/>
        <v>20000000</v>
      </c>
      <c r="CU51" s="22">
        <f t="shared" si="32"/>
        <v>0</v>
      </c>
      <c r="CV51" s="22">
        <f t="shared" si="32"/>
        <v>0</v>
      </c>
      <c r="CW51" s="22">
        <f t="shared" si="32"/>
        <v>0</v>
      </c>
      <c r="CX51" s="22">
        <f t="shared" si="32"/>
        <v>0</v>
      </c>
      <c r="CY51" s="22">
        <f t="shared" si="32"/>
        <v>0</v>
      </c>
      <c r="CZ51" s="22">
        <f t="shared" si="32"/>
        <v>0</v>
      </c>
      <c r="DA51" s="22">
        <f t="shared" si="32"/>
        <v>0</v>
      </c>
      <c r="DB51" s="22">
        <f t="shared" si="32"/>
        <v>0</v>
      </c>
      <c r="DC51" s="22">
        <f t="shared" si="32"/>
        <v>0</v>
      </c>
      <c r="DD51" s="22">
        <f t="shared" si="32"/>
        <v>0</v>
      </c>
      <c r="DE51" s="22">
        <f t="shared" si="32"/>
        <v>0</v>
      </c>
      <c r="DF51" s="22">
        <f t="shared" si="32"/>
        <v>0</v>
      </c>
      <c r="DG51" s="22">
        <f t="shared" si="32"/>
        <v>0</v>
      </c>
      <c r="DH51" s="22">
        <f t="shared" si="34"/>
        <v>0</v>
      </c>
      <c r="DI51" s="22">
        <f t="shared" si="30"/>
        <v>0</v>
      </c>
      <c r="DJ51" s="22">
        <f t="shared" si="30"/>
        <v>0</v>
      </c>
      <c r="DK51" s="22">
        <f t="shared" si="30"/>
        <v>5600000</v>
      </c>
      <c r="DN51" s="152"/>
      <c r="DO51" s="26">
        <v>40000000</v>
      </c>
      <c r="DP51" s="26">
        <v>14400000</v>
      </c>
      <c r="DQ51" s="151">
        <f t="shared" si="31"/>
        <v>0.36</v>
      </c>
    </row>
    <row r="52" spans="1:121" ht="34.5" hidden="1" customHeight="1" x14ac:dyDescent="0.25">
      <c r="A52" s="192"/>
      <c r="B52" s="189"/>
      <c r="C52" s="18" t="s">
        <v>178</v>
      </c>
      <c r="D52" s="19" t="s">
        <v>179</v>
      </c>
      <c r="E52" s="20">
        <v>410</v>
      </c>
      <c r="F52" s="21" t="s">
        <v>107</v>
      </c>
      <c r="G52" s="22">
        <f t="shared" si="22"/>
        <v>10000000</v>
      </c>
      <c r="H52" s="33"/>
      <c r="I52" s="22"/>
      <c r="J52" s="22">
        <v>10000000</v>
      </c>
      <c r="K52" s="22"/>
      <c r="L52" s="33"/>
      <c r="M52" s="33"/>
      <c r="N52" s="33"/>
      <c r="O52" s="33"/>
      <c r="P52" s="33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3">
        <f t="shared" si="1"/>
        <v>0.80938730000000003</v>
      </c>
      <c r="AC52" s="22">
        <f t="shared" si="23"/>
        <v>8093873</v>
      </c>
      <c r="AD52" s="22"/>
      <c r="AE52" s="22"/>
      <c r="AF52" s="22">
        <f>+'[8]ABRIL 2017'!$L$894</f>
        <v>8093873</v>
      </c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3">
        <f t="shared" si="3"/>
        <v>0.19061269999999997</v>
      </c>
      <c r="AY52" s="22">
        <f t="shared" si="24"/>
        <v>1906127</v>
      </c>
      <c r="AZ52" s="22">
        <f t="shared" si="35"/>
        <v>0</v>
      </c>
      <c r="BA52" s="22">
        <f t="shared" si="35"/>
        <v>0</v>
      </c>
      <c r="BB52" s="22">
        <f t="shared" si="35"/>
        <v>1906127</v>
      </c>
      <c r="BC52" s="22">
        <f t="shared" si="35"/>
        <v>0</v>
      </c>
      <c r="BD52" s="22">
        <f t="shared" si="35"/>
        <v>0</v>
      </c>
      <c r="BE52" s="22">
        <f t="shared" si="35"/>
        <v>0</v>
      </c>
      <c r="BF52" s="22">
        <f t="shared" si="35"/>
        <v>0</v>
      </c>
      <c r="BG52" s="22">
        <f t="shared" si="35"/>
        <v>0</v>
      </c>
      <c r="BH52" s="22">
        <f t="shared" si="35"/>
        <v>0</v>
      </c>
      <c r="BI52" s="22">
        <f t="shared" si="35"/>
        <v>0</v>
      </c>
      <c r="BJ52" s="22">
        <f t="shared" si="35"/>
        <v>0</v>
      </c>
      <c r="BK52" s="22">
        <f t="shared" si="35"/>
        <v>0</v>
      </c>
      <c r="BL52" s="22">
        <f t="shared" si="35"/>
        <v>0</v>
      </c>
      <c r="BM52" s="22">
        <f t="shared" si="35"/>
        <v>0</v>
      </c>
      <c r="BN52" s="22">
        <f t="shared" si="35"/>
        <v>0</v>
      </c>
      <c r="BO52" s="22">
        <f t="shared" si="33"/>
        <v>0</v>
      </c>
      <c r="BP52" s="22">
        <f t="shared" si="26"/>
        <v>0</v>
      </c>
      <c r="BQ52" s="22">
        <f t="shared" si="26"/>
        <v>0</v>
      </c>
      <c r="BR52" s="22">
        <f t="shared" si="26"/>
        <v>0</v>
      </c>
      <c r="BS52" s="22">
        <f t="shared" si="26"/>
        <v>0</v>
      </c>
      <c r="BT52" s="23">
        <f t="shared" si="7"/>
        <v>0.80938730000000003</v>
      </c>
      <c r="BU52" s="22">
        <f t="shared" si="27"/>
        <v>8093873</v>
      </c>
      <c r="BV52" s="22"/>
      <c r="BW52" s="22"/>
      <c r="BX52" s="22">
        <f>+'[8]ABRIL 2017'!$H$892</f>
        <v>8093873</v>
      </c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3">
        <f t="shared" si="9"/>
        <v>0.19061269999999997</v>
      </c>
      <c r="CQ52" s="22">
        <f t="shared" si="28"/>
        <v>1906127</v>
      </c>
      <c r="CR52" s="22">
        <f t="shared" si="32"/>
        <v>0</v>
      </c>
      <c r="CS52" s="22">
        <f t="shared" si="32"/>
        <v>0</v>
      </c>
      <c r="CT52" s="22">
        <f t="shared" si="32"/>
        <v>1906127</v>
      </c>
      <c r="CU52" s="22">
        <f t="shared" si="32"/>
        <v>0</v>
      </c>
      <c r="CV52" s="22">
        <f t="shared" si="32"/>
        <v>0</v>
      </c>
      <c r="CW52" s="22">
        <f t="shared" si="32"/>
        <v>0</v>
      </c>
      <c r="CX52" s="22">
        <f t="shared" si="32"/>
        <v>0</v>
      </c>
      <c r="CY52" s="22">
        <f t="shared" si="32"/>
        <v>0</v>
      </c>
      <c r="CZ52" s="22">
        <f t="shared" si="32"/>
        <v>0</v>
      </c>
      <c r="DA52" s="22">
        <f t="shared" si="32"/>
        <v>0</v>
      </c>
      <c r="DB52" s="22">
        <f t="shared" si="32"/>
        <v>0</v>
      </c>
      <c r="DC52" s="22">
        <f t="shared" si="32"/>
        <v>0</v>
      </c>
      <c r="DD52" s="22">
        <f t="shared" si="32"/>
        <v>0</v>
      </c>
      <c r="DE52" s="22">
        <f t="shared" si="32"/>
        <v>0</v>
      </c>
      <c r="DF52" s="22">
        <f t="shared" si="32"/>
        <v>0</v>
      </c>
      <c r="DG52" s="22">
        <f t="shared" si="32"/>
        <v>0</v>
      </c>
      <c r="DH52" s="22">
        <f t="shared" si="34"/>
        <v>0</v>
      </c>
      <c r="DI52" s="22">
        <f t="shared" si="30"/>
        <v>0</v>
      </c>
      <c r="DJ52" s="22">
        <f t="shared" si="30"/>
        <v>0</v>
      </c>
      <c r="DK52" s="22">
        <f t="shared" si="30"/>
        <v>0</v>
      </c>
      <c r="DN52" s="152"/>
      <c r="DO52" s="26">
        <v>10000000</v>
      </c>
      <c r="DP52" s="26">
        <v>8093873</v>
      </c>
      <c r="DQ52" s="151">
        <f t="shared" si="31"/>
        <v>0.80938730000000003</v>
      </c>
    </row>
    <row r="53" spans="1:121" ht="35.25" hidden="1" customHeight="1" x14ac:dyDescent="0.25">
      <c r="A53" s="192"/>
      <c r="B53" s="189"/>
      <c r="C53" s="18" t="s">
        <v>180</v>
      </c>
      <c r="D53" s="19" t="s">
        <v>181</v>
      </c>
      <c r="E53" s="20">
        <v>410</v>
      </c>
      <c r="F53" s="21" t="s">
        <v>107</v>
      </c>
      <c r="G53" s="22">
        <f t="shared" si="22"/>
        <v>130000000</v>
      </c>
      <c r="H53" s="33"/>
      <c r="I53" s="22"/>
      <c r="J53" s="22">
        <v>70000000</v>
      </c>
      <c r="K53" s="22">
        <f>60000000</f>
        <v>60000000</v>
      </c>
      <c r="L53" s="33"/>
      <c r="M53" s="33"/>
      <c r="N53" s="33"/>
      <c r="O53" s="33"/>
      <c r="P53" s="33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3">
        <f t="shared" si="1"/>
        <v>0.68966893846153843</v>
      </c>
      <c r="AC53" s="22">
        <f t="shared" si="23"/>
        <v>89656962</v>
      </c>
      <c r="AD53" s="22"/>
      <c r="AE53" s="22"/>
      <c r="AF53" s="22">
        <f>28479822+1177140</f>
        <v>29656962</v>
      </c>
      <c r="AG53" s="22">
        <v>60000000</v>
      </c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3">
        <f t="shared" si="3"/>
        <v>0.31033106153846157</v>
      </c>
      <c r="AY53" s="22">
        <f t="shared" si="24"/>
        <v>40343038</v>
      </c>
      <c r="AZ53" s="22">
        <f t="shared" si="35"/>
        <v>0</v>
      </c>
      <c r="BA53" s="22">
        <f t="shared" si="35"/>
        <v>0</v>
      </c>
      <c r="BB53" s="22">
        <f t="shared" si="35"/>
        <v>40343038</v>
      </c>
      <c r="BC53" s="22">
        <f t="shared" si="35"/>
        <v>0</v>
      </c>
      <c r="BD53" s="22">
        <f t="shared" si="35"/>
        <v>0</v>
      </c>
      <c r="BE53" s="22">
        <f t="shared" si="35"/>
        <v>0</v>
      </c>
      <c r="BF53" s="22">
        <f t="shared" si="35"/>
        <v>0</v>
      </c>
      <c r="BG53" s="22">
        <f t="shared" si="35"/>
        <v>0</v>
      </c>
      <c r="BH53" s="22">
        <f t="shared" si="35"/>
        <v>0</v>
      </c>
      <c r="BI53" s="22">
        <f t="shared" si="35"/>
        <v>0</v>
      </c>
      <c r="BJ53" s="22">
        <f t="shared" si="35"/>
        <v>0</v>
      </c>
      <c r="BK53" s="22">
        <f t="shared" si="35"/>
        <v>0</v>
      </c>
      <c r="BL53" s="22">
        <f t="shared" si="35"/>
        <v>0</v>
      </c>
      <c r="BM53" s="22">
        <f t="shared" si="35"/>
        <v>0</v>
      </c>
      <c r="BN53" s="22">
        <f t="shared" si="35"/>
        <v>0</v>
      </c>
      <c r="BO53" s="22">
        <f t="shared" si="33"/>
        <v>0</v>
      </c>
      <c r="BP53" s="22">
        <f t="shared" si="26"/>
        <v>0</v>
      </c>
      <c r="BQ53" s="22">
        <f t="shared" si="26"/>
        <v>0</v>
      </c>
      <c r="BR53" s="22">
        <f t="shared" si="26"/>
        <v>0</v>
      </c>
      <c r="BS53" s="22">
        <f t="shared" si="26"/>
        <v>0</v>
      </c>
      <c r="BT53" s="23">
        <f t="shared" si="7"/>
        <v>0.6878458615384615</v>
      </c>
      <c r="BU53" s="22">
        <f t="shared" si="27"/>
        <v>89419962</v>
      </c>
      <c r="BV53" s="22"/>
      <c r="BW53" s="22"/>
      <c r="BX53" s="22">
        <v>29419962</v>
      </c>
      <c r="BY53" s="22">
        <v>60000000</v>
      </c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3">
        <f t="shared" si="9"/>
        <v>0.3121541384615385</v>
      </c>
      <c r="CQ53" s="22">
        <f t="shared" si="28"/>
        <v>40580038</v>
      </c>
      <c r="CR53" s="22">
        <f t="shared" si="32"/>
        <v>0</v>
      </c>
      <c r="CS53" s="22">
        <f t="shared" si="32"/>
        <v>0</v>
      </c>
      <c r="CT53" s="22">
        <f t="shared" si="32"/>
        <v>40580038</v>
      </c>
      <c r="CU53" s="22">
        <f t="shared" si="32"/>
        <v>0</v>
      </c>
      <c r="CV53" s="22">
        <f t="shared" si="32"/>
        <v>0</v>
      </c>
      <c r="CW53" s="22">
        <f t="shared" si="32"/>
        <v>0</v>
      </c>
      <c r="CX53" s="22">
        <f t="shared" si="32"/>
        <v>0</v>
      </c>
      <c r="CY53" s="22">
        <f t="shared" si="32"/>
        <v>0</v>
      </c>
      <c r="CZ53" s="22">
        <f t="shared" si="32"/>
        <v>0</v>
      </c>
      <c r="DA53" s="22">
        <f t="shared" si="32"/>
        <v>0</v>
      </c>
      <c r="DB53" s="22">
        <f t="shared" si="32"/>
        <v>0</v>
      </c>
      <c r="DC53" s="22">
        <f t="shared" si="32"/>
        <v>0</v>
      </c>
      <c r="DD53" s="22">
        <f t="shared" si="32"/>
        <v>0</v>
      </c>
      <c r="DE53" s="22">
        <f t="shared" si="32"/>
        <v>0</v>
      </c>
      <c r="DF53" s="22">
        <f t="shared" si="32"/>
        <v>0</v>
      </c>
      <c r="DG53" s="22">
        <f t="shared" si="32"/>
        <v>0</v>
      </c>
      <c r="DH53" s="22">
        <f t="shared" si="34"/>
        <v>0</v>
      </c>
      <c r="DI53" s="22">
        <f t="shared" si="30"/>
        <v>0</v>
      </c>
      <c r="DJ53" s="22">
        <f t="shared" si="30"/>
        <v>0</v>
      </c>
      <c r="DK53" s="22">
        <f t="shared" si="30"/>
        <v>0</v>
      </c>
      <c r="DN53" s="152"/>
      <c r="DO53" s="26">
        <v>130000000</v>
      </c>
      <c r="DP53" s="26">
        <v>89419962</v>
      </c>
      <c r="DQ53" s="151">
        <f t="shared" si="31"/>
        <v>0.6878458615384615</v>
      </c>
    </row>
    <row r="54" spans="1:121" ht="23.25" hidden="1" customHeight="1" x14ac:dyDescent="0.25">
      <c r="A54" s="192"/>
      <c r="B54" s="189"/>
      <c r="C54" s="18" t="s">
        <v>182</v>
      </c>
      <c r="D54" s="19" t="s">
        <v>183</v>
      </c>
      <c r="E54" s="20">
        <v>410</v>
      </c>
      <c r="F54" s="21" t="s">
        <v>107</v>
      </c>
      <c r="G54" s="22">
        <f t="shared" si="22"/>
        <v>12449515</v>
      </c>
      <c r="H54" s="33"/>
      <c r="I54" s="22">
        <f>25000000-12550485</f>
        <v>12449515</v>
      </c>
      <c r="J54" s="33"/>
      <c r="K54" s="33"/>
      <c r="L54" s="33"/>
      <c r="M54" s="33"/>
      <c r="N54" s="33"/>
      <c r="O54" s="33"/>
      <c r="P54" s="33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3">
        <f t="shared" si="1"/>
        <v>1</v>
      </c>
      <c r="AC54" s="22">
        <f t="shared" si="23"/>
        <v>12449515</v>
      </c>
      <c r="AD54" s="22"/>
      <c r="AE54" s="22">
        <f>+'[6]JULIO 2017'!$K$1860</f>
        <v>12449515</v>
      </c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3">
        <f t="shared" si="3"/>
        <v>0</v>
      </c>
      <c r="AY54" s="22">
        <f t="shared" si="24"/>
        <v>0</v>
      </c>
      <c r="AZ54" s="22">
        <f t="shared" si="35"/>
        <v>0</v>
      </c>
      <c r="BA54" s="22">
        <f t="shared" si="35"/>
        <v>0</v>
      </c>
      <c r="BB54" s="22">
        <f t="shared" si="35"/>
        <v>0</v>
      </c>
      <c r="BC54" s="22">
        <f t="shared" si="35"/>
        <v>0</v>
      </c>
      <c r="BD54" s="22">
        <f t="shared" si="35"/>
        <v>0</v>
      </c>
      <c r="BE54" s="22">
        <f t="shared" si="35"/>
        <v>0</v>
      </c>
      <c r="BF54" s="22">
        <f t="shared" si="35"/>
        <v>0</v>
      </c>
      <c r="BG54" s="22">
        <f t="shared" si="35"/>
        <v>0</v>
      </c>
      <c r="BH54" s="22">
        <f t="shared" si="35"/>
        <v>0</v>
      </c>
      <c r="BI54" s="22">
        <f t="shared" si="35"/>
        <v>0</v>
      </c>
      <c r="BJ54" s="22">
        <f t="shared" si="35"/>
        <v>0</v>
      </c>
      <c r="BK54" s="22">
        <f t="shared" si="35"/>
        <v>0</v>
      </c>
      <c r="BL54" s="22">
        <f t="shared" si="35"/>
        <v>0</v>
      </c>
      <c r="BM54" s="22">
        <f t="shared" si="35"/>
        <v>0</v>
      </c>
      <c r="BN54" s="22">
        <f t="shared" si="35"/>
        <v>0</v>
      </c>
      <c r="BO54" s="22">
        <f t="shared" si="33"/>
        <v>0</v>
      </c>
      <c r="BP54" s="22">
        <f t="shared" si="26"/>
        <v>0</v>
      </c>
      <c r="BQ54" s="22">
        <f t="shared" si="26"/>
        <v>0</v>
      </c>
      <c r="BR54" s="22">
        <f t="shared" si="26"/>
        <v>0</v>
      </c>
      <c r="BS54" s="22">
        <f t="shared" si="26"/>
        <v>0</v>
      </c>
      <c r="BT54" s="23">
        <f t="shared" si="7"/>
        <v>0.99999991967558577</v>
      </c>
      <c r="BU54" s="22">
        <f t="shared" si="27"/>
        <v>12449514</v>
      </c>
      <c r="BV54" s="22"/>
      <c r="BW54" s="22">
        <f>+'[6]JULIO 2017'!$H$1858</f>
        <v>12449514</v>
      </c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3">
        <f t="shared" si="9"/>
        <v>8.0324414231114361E-8</v>
      </c>
      <c r="CQ54" s="22">
        <f t="shared" si="28"/>
        <v>1</v>
      </c>
      <c r="CR54" s="22">
        <f t="shared" si="32"/>
        <v>0</v>
      </c>
      <c r="CS54" s="22">
        <f t="shared" si="32"/>
        <v>1</v>
      </c>
      <c r="CT54" s="22">
        <f t="shared" si="32"/>
        <v>0</v>
      </c>
      <c r="CU54" s="22">
        <f t="shared" si="32"/>
        <v>0</v>
      </c>
      <c r="CV54" s="22">
        <f t="shared" si="32"/>
        <v>0</v>
      </c>
      <c r="CW54" s="22">
        <f t="shared" si="32"/>
        <v>0</v>
      </c>
      <c r="CX54" s="22">
        <f t="shared" si="32"/>
        <v>0</v>
      </c>
      <c r="CY54" s="22">
        <f t="shared" si="32"/>
        <v>0</v>
      </c>
      <c r="CZ54" s="22">
        <f t="shared" si="32"/>
        <v>0</v>
      </c>
      <c r="DA54" s="22">
        <f t="shared" si="32"/>
        <v>0</v>
      </c>
      <c r="DB54" s="22">
        <f t="shared" si="32"/>
        <v>0</v>
      </c>
      <c r="DC54" s="22">
        <f t="shared" si="32"/>
        <v>0</v>
      </c>
      <c r="DD54" s="22">
        <f t="shared" si="32"/>
        <v>0</v>
      </c>
      <c r="DE54" s="22">
        <f t="shared" si="32"/>
        <v>0</v>
      </c>
      <c r="DF54" s="22">
        <f t="shared" si="32"/>
        <v>0</v>
      </c>
      <c r="DG54" s="22">
        <f t="shared" si="32"/>
        <v>0</v>
      </c>
      <c r="DH54" s="22">
        <f t="shared" si="34"/>
        <v>0</v>
      </c>
      <c r="DI54" s="22">
        <f t="shared" si="30"/>
        <v>0</v>
      </c>
      <c r="DJ54" s="22">
        <f t="shared" si="30"/>
        <v>0</v>
      </c>
      <c r="DK54" s="22">
        <f t="shared" si="30"/>
        <v>0</v>
      </c>
      <c r="DN54" s="152"/>
      <c r="DO54" s="26">
        <v>12449515</v>
      </c>
      <c r="DP54" s="26">
        <v>12449514</v>
      </c>
      <c r="DQ54" s="151">
        <f t="shared" si="31"/>
        <v>0.99999991967558577</v>
      </c>
    </row>
    <row r="55" spans="1:121" ht="35.25" hidden="1" customHeight="1" x14ac:dyDescent="0.25">
      <c r="A55" s="192"/>
      <c r="B55" s="189"/>
      <c r="C55" s="18" t="s">
        <v>184</v>
      </c>
      <c r="D55" s="19" t="s">
        <v>185</v>
      </c>
      <c r="E55" s="20">
        <v>410</v>
      </c>
      <c r="F55" s="21" t="s">
        <v>107</v>
      </c>
      <c r="G55" s="22">
        <f t="shared" si="22"/>
        <v>104817975</v>
      </c>
      <c r="H55" s="33"/>
      <c r="I55" s="22">
        <f>25000000+12550485</f>
        <v>37550485</v>
      </c>
      <c r="J55" s="33"/>
      <c r="K55" s="22">
        <f>127267490-60000000</f>
        <v>67267490</v>
      </c>
      <c r="L55" s="33"/>
      <c r="M55" s="33"/>
      <c r="N55" s="33"/>
      <c r="O55" s="33"/>
      <c r="P55" s="33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3">
        <f t="shared" si="1"/>
        <v>1</v>
      </c>
      <c r="AC55" s="22">
        <f t="shared" si="23"/>
        <v>104817975</v>
      </c>
      <c r="AD55" s="22"/>
      <c r="AE55" s="22">
        <f>+'[6]JULIO 2017'!$K$1870</f>
        <v>37550485</v>
      </c>
      <c r="AF55" s="22"/>
      <c r="AG55" s="22">
        <f>+'[6]JULIO 2017'!$L$1870</f>
        <v>67267490</v>
      </c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3">
        <f t="shared" si="3"/>
        <v>0</v>
      </c>
      <c r="AY55" s="22">
        <f t="shared" si="24"/>
        <v>0</v>
      </c>
      <c r="AZ55" s="22">
        <f t="shared" si="35"/>
        <v>0</v>
      </c>
      <c r="BA55" s="22">
        <f t="shared" si="35"/>
        <v>0</v>
      </c>
      <c r="BB55" s="22">
        <f t="shared" si="35"/>
        <v>0</v>
      </c>
      <c r="BC55" s="22">
        <f t="shared" si="35"/>
        <v>0</v>
      </c>
      <c r="BD55" s="22">
        <f t="shared" si="35"/>
        <v>0</v>
      </c>
      <c r="BE55" s="22">
        <f t="shared" si="35"/>
        <v>0</v>
      </c>
      <c r="BF55" s="22">
        <f t="shared" si="35"/>
        <v>0</v>
      </c>
      <c r="BG55" s="22">
        <f t="shared" si="35"/>
        <v>0</v>
      </c>
      <c r="BH55" s="22">
        <f t="shared" si="35"/>
        <v>0</v>
      </c>
      <c r="BI55" s="22">
        <f t="shared" si="35"/>
        <v>0</v>
      </c>
      <c r="BJ55" s="22">
        <f t="shared" si="35"/>
        <v>0</v>
      </c>
      <c r="BK55" s="22">
        <f t="shared" si="35"/>
        <v>0</v>
      </c>
      <c r="BL55" s="22">
        <f t="shared" si="35"/>
        <v>0</v>
      </c>
      <c r="BM55" s="22">
        <f t="shared" si="35"/>
        <v>0</v>
      </c>
      <c r="BN55" s="22">
        <f t="shared" si="35"/>
        <v>0</v>
      </c>
      <c r="BO55" s="22">
        <f t="shared" si="33"/>
        <v>0</v>
      </c>
      <c r="BP55" s="22">
        <f t="shared" si="26"/>
        <v>0</v>
      </c>
      <c r="BQ55" s="22">
        <f t="shared" si="26"/>
        <v>0</v>
      </c>
      <c r="BR55" s="22">
        <f t="shared" si="26"/>
        <v>0</v>
      </c>
      <c r="BS55" s="22">
        <f t="shared" si="26"/>
        <v>0</v>
      </c>
      <c r="BT55" s="23">
        <f t="shared" si="7"/>
        <v>0.99383916737563383</v>
      </c>
      <c r="BU55" s="22">
        <f t="shared" si="27"/>
        <v>104172209</v>
      </c>
      <c r="BV55" s="22"/>
      <c r="BW55" s="22">
        <f>+'[5]AGOSTO 2017'!$H$2166+'[5]AGOSTO 2017'!$H$2192</f>
        <v>36904719</v>
      </c>
      <c r="BX55" s="22"/>
      <c r="BY55" s="22">
        <f>+'[5]AGOSTO 2017'!$H$2163-BW55</f>
        <v>67267490</v>
      </c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3">
        <f t="shared" si="9"/>
        <v>6.1608326243661748E-3</v>
      </c>
      <c r="CQ55" s="22">
        <f t="shared" si="28"/>
        <v>645766</v>
      </c>
      <c r="CR55" s="22">
        <f t="shared" si="32"/>
        <v>0</v>
      </c>
      <c r="CS55" s="22">
        <f t="shared" si="32"/>
        <v>645766</v>
      </c>
      <c r="CT55" s="22">
        <f t="shared" si="32"/>
        <v>0</v>
      </c>
      <c r="CU55" s="22">
        <f t="shared" si="32"/>
        <v>0</v>
      </c>
      <c r="CV55" s="22">
        <f t="shared" si="32"/>
        <v>0</v>
      </c>
      <c r="CW55" s="22">
        <f t="shared" si="32"/>
        <v>0</v>
      </c>
      <c r="CX55" s="22">
        <f t="shared" si="32"/>
        <v>0</v>
      </c>
      <c r="CY55" s="22">
        <f t="shared" si="32"/>
        <v>0</v>
      </c>
      <c r="CZ55" s="22">
        <f t="shared" si="32"/>
        <v>0</v>
      </c>
      <c r="DA55" s="22">
        <f t="shared" si="32"/>
        <v>0</v>
      </c>
      <c r="DB55" s="22">
        <f t="shared" si="32"/>
        <v>0</v>
      </c>
      <c r="DC55" s="22">
        <f t="shared" si="32"/>
        <v>0</v>
      </c>
      <c r="DD55" s="22">
        <f t="shared" si="32"/>
        <v>0</v>
      </c>
      <c r="DE55" s="22">
        <f t="shared" si="32"/>
        <v>0</v>
      </c>
      <c r="DF55" s="22">
        <f t="shared" si="32"/>
        <v>0</v>
      </c>
      <c r="DG55" s="22">
        <f t="shared" si="32"/>
        <v>0</v>
      </c>
      <c r="DH55" s="22">
        <f t="shared" si="34"/>
        <v>0</v>
      </c>
      <c r="DI55" s="22">
        <f t="shared" si="30"/>
        <v>0</v>
      </c>
      <c r="DJ55" s="22">
        <f t="shared" si="30"/>
        <v>0</v>
      </c>
      <c r="DK55" s="22">
        <f t="shared" si="30"/>
        <v>0</v>
      </c>
      <c r="DN55" s="152"/>
      <c r="DO55" s="26">
        <v>104817975</v>
      </c>
      <c r="DP55" s="26">
        <v>104172209</v>
      </c>
      <c r="DQ55" s="151">
        <f t="shared" si="31"/>
        <v>0.99383916737563383</v>
      </c>
    </row>
    <row r="56" spans="1:121" ht="35.25" hidden="1" customHeight="1" x14ac:dyDescent="0.25">
      <c r="A56" s="196"/>
      <c r="B56" s="190"/>
      <c r="C56" s="18" t="s">
        <v>186</v>
      </c>
      <c r="D56" s="19" t="s">
        <v>187</v>
      </c>
      <c r="E56" s="20">
        <v>410</v>
      </c>
      <c r="F56" s="21" t="s">
        <v>188</v>
      </c>
      <c r="G56" s="22">
        <f t="shared" si="22"/>
        <v>25000000</v>
      </c>
      <c r="H56" s="33"/>
      <c r="I56" s="33"/>
      <c r="J56" s="33"/>
      <c r="K56" s="33"/>
      <c r="L56" s="33"/>
      <c r="M56" s="33"/>
      <c r="N56" s="33"/>
      <c r="O56" s="33"/>
      <c r="P56" s="33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>
        <f>20000000+5000000</f>
        <v>25000000</v>
      </c>
      <c r="AB56" s="23">
        <f t="shared" si="1"/>
        <v>0.90666667999999995</v>
      </c>
      <c r="AC56" s="22">
        <f t="shared" si="23"/>
        <v>22666667</v>
      </c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>
        <f>+'[6]JULIO 2017'!$AC$1903</f>
        <v>22666667</v>
      </c>
      <c r="AX56" s="23">
        <f t="shared" si="3"/>
        <v>9.3333320000000053E-2</v>
      </c>
      <c r="AY56" s="22">
        <f t="shared" si="24"/>
        <v>2333333</v>
      </c>
      <c r="AZ56" s="22">
        <f t="shared" si="35"/>
        <v>0</v>
      </c>
      <c r="BA56" s="22">
        <f t="shared" si="35"/>
        <v>0</v>
      </c>
      <c r="BB56" s="22">
        <f t="shared" si="35"/>
        <v>0</v>
      </c>
      <c r="BC56" s="22">
        <f t="shared" si="35"/>
        <v>0</v>
      </c>
      <c r="BD56" s="22">
        <f t="shared" si="35"/>
        <v>0</v>
      </c>
      <c r="BE56" s="22">
        <f t="shared" si="35"/>
        <v>0</v>
      </c>
      <c r="BF56" s="22">
        <f t="shared" si="35"/>
        <v>0</v>
      </c>
      <c r="BG56" s="22">
        <f t="shared" si="35"/>
        <v>0</v>
      </c>
      <c r="BH56" s="22">
        <f t="shared" si="35"/>
        <v>0</v>
      </c>
      <c r="BI56" s="22">
        <f t="shared" si="35"/>
        <v>0</v>
      </c>
      <c r="BJ56" s="22">
        <f t="shared" si="35"/>
        <v>0</v>
      </c>
      <c r="BK56" s="22">
        <f t="shared" si="35"/>
        <v>0</v>
      </c>
      <c r="BL56" s="22">
        <f t="shared" si="35"/>
        <v>0</v>
      </c>
      <c r="BM56" s="22">
        <f t="shared" si="35"/>
        <v>0</v>
      </c>
      <c r="BN56" s="22">
        <f t="shared" si="35"/>
        <v>0</v>
      </c>
      <c r="BO56" s="22">
        <f t="shared" si="33"/>
        <v>0</v>
      </c>
      <c r="BP56" s="22">
        <f t="shared" si="26"/>
        <v>0</v>
      </c>
      <c r="BQ56" s="22">
        <f t="shared" si="26"/>
        <v>0</v>
      </c>
      <c r="BR56" s="22">
        <f t="shared" si="26"/>
        <v>0</v>
      </c>
      <c r="BS56" s="22">
        <f t="shared" si="26"/>
        <v>2333333</v>
      </c>
      <c r="BT56" s="23">
        <f t="shared" si="7"/>
        <v>0.85066668000000001</v>
      </c>
      <c r="BU56" s="22">
        <f t="shared" si="27"/>
        <v>21266667</v>
      </c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>
        <f>+'[6]JULIO 2017'!$H$1901</f>
        <v>21266667</v>
      </c>
      <c r="CP56" s="23">
        <f t="shared" si="9"/>
        <v>0.14933331999999999</v>
      </c>
      <c r="CQ56" s="22">
        <f t="shared" si="28"/>
        <v>3733333</v>
      </c>
      <c r="CR56" s="22">
        <f t="shared" si="32"/>
        <v>0</v>
      </c>
      <c r="CS56" s="22">
        <f t="shared" si="32"/>
        <v>0</v>
      </c>
      <c r="CT56" s="22">
        <f t="shared" si="32"/>
        <v>0</v>
      </c>
      <c r="CU56" s="22">
        <f t="shared" si="32"/>
        <v>0</v>
      </c>
      <c r="CV56" s="22">
        <f t="shared" si="32"/>
        <v>0</v>
      </c>
      <c r="CW56" s="22">
        <f t="shared" si="32"/>
        <v>0</v>
      </c>
      <c r="CX56" s="22">
        <f t="shared" si="32"/>
        <v>0</v>
      </c>
      <c r="CY56" s="22">
        <f t="shared" si="32"/>
        <v>0</v>
      </c>
      <c r="CZ56" s="22">
        <f t="shared" si="32"/>
        <v>0</v>
      </c>
      <c r="DA56" s="22">
        <f t="shared" si="32"/>
        <v>0</v>
      </c>
      <c r="DB56" s="22">
        <f t="shared" si="32"/>
        <v>0</v>
      </c>
      <c r="DC56" s="22">
        <f t="shared" si="32"/>
        <v>0</v>
      </c>
      <c r="DD56" s="22">
        <f t="shared" si="32"/>
        <v>0</v>
      </c>
      <c r="DE56" s="22">
        <f t="shared" si="32"/>
        <v>0</v>
      </c>
      <c r="DF56" s="22">
        <f t="shared" si="32"/>
        <v>0</v>
      </c>
      <c r="DG56" s="22">
        <f t="shared" si="32"/>
        <v>0</v>
      </c>
      <c r="DH56" s="22">
        <f t="shared" si="34"/>
        <v>0</v>
      </c>
      <c r="DI56" s="22">
        <f t="shared" si="30"/>
        <v>0</v>
      </c>
      <c r="DJ56" s="22">
        <f t="shared" si="30"/>
        <v>0</v>
      </c>
      <c r="DK56" s="22">
        <f t="shared" si="30"/>
        <v>3733333</v>
      </c>
      <c r="DN56" s="152"/>
      <c r="DO56" s="26">
        <v>25000000</v>
      </c>
      <c r="DP56" s="26">
        <v>21266667</v>
      </c>
      <c r="DQ56" s="151">
        <f t="shared" si="31"/>
        <v>0.85066668000000001</v>
      </c>
    </row>
    <row r="57" spans="1:121" s="47" customFormat="1" ht="22.5" customHeight="1" thickTop="1" thickBot="1" x14ac:dyDescent="0.3">
      <c r="A57" s="60"/>
      <c r="B57" s="236" t="s">
        <v>372</v>
      </c>
      <c r="C57" s="237"/>
      <c r="D57" s="237"/>
      <c r="E57" s="238"/>
      <c r="F57" s="61"/>
      <c r="G57" s="62">
        <f t="shared" ref="G57:N57" si="36">SUM(G25:G56)</f>
        <v>7127077871</v>
      </c>
      <c r="H57" s="62">
        <f t="shared" si="36"/>
        <v>0</v>
      </c>
      <c r="I57" s="62">
        <f t="shared" si="36"/>
        <v>500000000</v>
      </c>
      <c r="J57" s="62">
        <f t="shared" si="36"/>
        <v>2550000000</v>
      </c>
      <c r="K57" s="62">
        <f t="shared" si="36"/>
        <v>234297558</v>
      </c>
      <c r="L57" s="62">
        <f t="shared" si="36"/>
        <v>0</v>
      </c>
      <c r="M57" s="62">
        <f t="shared" si="36"/>
        <v>0</v>
      </c>
      <c r="N57" s="62">
        <f t="shared" si="36"/>
        <v>0</v>
      </c>
      <c r="O57" s="62">
        <f t="shared" ref="O57:AA57" si="37">SUM(O25:O56)</f>
        <v>0</v>
      </c>
      <c r="P57" s="62">
        <f t="shared" si="37"/>
        <v>0</v>
      </c>
      <c r="Q57" s="62">
        <f t="shared" si="37"/>
        <v>0</v>
      </c>
      <c r="R57" s="62">
        <f t="shared" si="37"/>
        <v>0</v>
      </c>
      <c r="S57" s="62">
        <f t="shared" si="37"/>
        <v>3157557814</v>
      </c>
      <c r="T57" s="62">
        <f t="shared" si="37"/>
        <v>0</v>
      </c>
      <c r="U57" s="62">
        <f t="shared" si="37"/>
        <v>0</v>
      </c>
      <c r="V57" s="62">
        <f t="shared" si="37"/>
        <v>427275758</v>
      </c>
      <c r="W57" s="62">
        <f t="shared" si="37"/>
        <v>0</v>
      </c>
      <c r="X57" s="62">
        <f t="shared" si="37"/>
        <v>119946741</v>
      </c>
      <c r="Y57" s="62">
        <f t="shared" si="37"/>
        <v>0</v>
      </c>
      <c r="Z57" s="62">
        <f t="shared" si="37"/>
        <v>0</v>
      </c>
      <c r="AA57" s="62">
        <f t="shared" si="37"/>
        <v>138000000</v>
      </c>
      <c r="AB57" s="46">
        <f t="shared" si="1"/>
        <v>0.78588342899838648</v>
      </c>
      <c r="AC57" s="62">
        <f t="shared" ref="AC57:AW57" si="38">SUM(AC25:AC56)</f>
        <v>5601052396</v>
      </c>
      <c r="AD57" s="62">
        <f t="shared" si="38"/>
        <v>0</v>
      </c>
      <c r="AE57" s="62">
        <f t="shared" si="38"/>
        <v>471762012</v>
      </c>
      <c r="AF57" s="62">
        <f t="shared" si="38"/>
        <v>2209904030</v>
      </c>
      <c r="AG57" s="62">
        <f t="shared" si="38"/>
        <v>209836688</v>
      </c>
      <c r="AH57" s="62">
        <f t="shared" si="38"/>
        <v>0</v>
      </c>
      <c r="AI57" s="62">
        <f t="shared" si="38"/>
        <v>0</v>
      </c>
      <c r="AJ57" s="62">
        <f t="shared" si="38"/>
        <v>0</v>
      </c>
      <c r="AK57" s="62">
        <f t="shared" si="38"/>
        <v>0</v>
      </c>
      <c r="AL57" s="62">
        <f t="shared" si="38"/>
        <v>0</v>
      </c>
      <c r="AM57" s="62">
        <f t="shared" si="38"/>
        <v>0</v>
      </c>
      <c r="AN57" s="62">
        <f t="shared" si="38"/>
        <v>0</v>
      </c>
      <c r="AO57" s="62">
        <f t="shared" si="38"/>
        <v>2170553330</v>
      </c>
      <c r="AP57" s="62">
        <f t="shared" si="38"/>
        <v>0</v>
      </c>
      <c r="AQ57" s="62">
        <f t="shared" si="38"/>
        <v>0</v>
      </c>
      <c r="AR57" s="62">
        <f t="shared" si="38"/>
        <v>329664409</v>
      </c>
      <c r="AS57" s="62">
        <f t="shared" si="38"/>
        <v>0</v>
      </c>
      <c r="AT57" s="62">
        <f t="shared" si="38"/>
        <v>119946741</v>
      </c>
      <c r="AU57" s="62">
        <f t="shared" si="38"/>
        <v>0</v>
      </c>
      <c r="AV57" s="62">
        <f t="shared" si="38"/>
        <v>0</v>
      </c>
      <c r="AW57" s="62">
        <f t="shared" si="38"/>
        <v>89385186</v>
      </c>
      <c r="AX57" s="46">
        <f t="shared" si="3"/>
        <v>0.21411657100161352</v>
      </c>
      <c r="AY57" s="62">
        <f t="shared" ref="AY57:BS57" si="39">SUM(AY25:AY56)</f>
        <v>1526025475</v>
      </c>
      <c r="AZ57" s="62">
        <f t="shared" si="39"/>
        <v>0</v>
      </c>
      <c r="BA57" s="62">
        <f t="shared" si="39"/>
        <v>28237988</v>
      </c>
      <c r="BB57" s="62">
        <f t="shared" si="39"/>
        <v>340095970</v>
      </c>
      <c r="BC57" s="62">
        <f t="shared" si="39"/>
        <v>24460870</v>
      </c>
      <c r="BD57" s="62">
        <f t="shared" si="39"/>
        <v>0</v>
      </c>
      <c r="BE57" s="62">
        <f t="shared" si="39"/>
        <v>0</v>
      </c>
      <c r="BF57" s="62">
        <f t="shared" si="39"/>
        <v>0</v>
      </c>
      <c r="BG57" s="62">
        <f t="shared" si="39"/>
        <v>0</v>
      </c>
      <c r="BH57" s="62">
        <f t="shared" si="39"/>
        <v>0</v>
      </c>
      <c r="BI57" s="62">
        <f t="shared" si="39"/>
        <v>0</v>
      </c>
      <c r="BJ57" s="62">
        <f t="shared" si="39"/>
        <v>0</v>
      </c>
      <c r="BK57" s="62">
        <f t="shared" si="39"/>
        <v>987004484</v>
      </c>
      <c r="BL57" s="62">
        <f t="shared" si="39"/>
        <v>0</v>
      </c>
      <c r="BM57" s="62">
        <f t="shared" si="39"/>
        <v>0</v>
      </c>
      <c r="BN57" s="62">
        <f t="shared" si="39"/>
        <v>97611349</v>
      </c>
      <c r="BO57" s="62">
        <f t="shared" si="39"/>
        <v>0</v>
      </c>
      <c r="BP57" s="62">
        <f t="shared" si="39"/>
        <v>0</v>
      </c>
      <c r="BQ57" s="62">
        <f t="shared" si="39"/>
        <v>0</v>
      </c>
      <c r="BR57" s="62">
        <f t="shared" si="39"/>
        <v>0</v>
      </c>
      <c r="BS57" s="62">
        <f t="shared" si="39"/>
        <v>48614814</v>
      </c>
      <c r="BT57" s="46">
        <f t="shared" si="7"/>
        <v>0.63066378863197914</v>
      </c>
      <c r="BU57" s="62">
        <f t="shared" ref="BU57:DK57" si="40">SUM(BU25:BU56)</f>
        <v>4494789932</v>
      </c>
      <c r="BV57" s="62">
        <f t="shared" si="40"/>
        <v>0</v>
      </c>
      <c r="BW57" s="62">
        <f t="shared" si="40"/>
        <v>439799797</v>
      </c>
      <c r="BX57" s="62">
        <f t="shared" si="40"/>
        <v>1672311308</v>
      </c>
      <c r="BY57" s="62">
        <f t="shared" si="40"/>
        <v>209836688</v>
      </c>
      <c r="BZ57" s="62">
        <f t="shared" si="40"/>
        <v>0</v>
      </c>
      <c r="CA57" s="62">
        <f t="shared" si="40"/>
        <v>0</v>
      </c>
      <c r="CB57" s="62">
        <f t="shared" si="40"/>
        <v>0</v>
      </c>
      <c r="CC57" s="62">
        <f t="shared" si="40"/>
        <v>0</v>
      </c>
      <c r="CD57" s="62">
        <f t="shared" si="40"/>
        <v>0</v>
      </c>
      <c r="CE57" s="62">
        <f t="shared" si="40"/>
        <v>0</v>
      </c>
      <c r="CF57" s="62">
        <f t="shared" si="40"/>
        <v>0</v>
      </c>
      <c r="CG57" s="62">
        <f t="shared" si="40"/>
        <v>1903657930</v>
      </c>
      <c r="CH57" s="62">
        <f t="shared" si="40"/>
        <v>0</v>
      </c>
      <c r="CI57" s="62">
        <f t="shared" si="40"/>
        <v>0</v>
      </c>
      <c r="CJ57" s="62">
        <f t="shared" si="40"/>
        <v>140434345</v>
      </c>
      <c r="CK57" s="62">
        <f t="shared" si="40"/>
        <v>0</v>
      </c>
      <c r="CL57" s="62">
        <f t="shared" si="40"/>
        <v>44864678</v>
      </c>
      <c r="CM57" s="62">
        <f t="shared" si="40"/>
        <v>0</v>
      </c>
      <c r="CN57" s="62">
        <f t="shared" si="40"/>
        <v>0</v>
      </c>
      <c r="CO57" s="62">
        <f t="shared" si="40"/>
        <v>83885186</v>
      </c>
      <c r="CP57" s="44">
        <f t="shared" si="9"/>
        <v>0.36933621136802086</v>
      </c>
      <c r="CQ57" s="62">
        <f t="shared" si="40"/>
        <v>2632287939</v>
      </c>
      <c r="CR57" s="62">
        <f t="shared" si="40"/>
        <v>0</v>
      </c>
      <c r="CS57" s="62">
        <f t="shared" si="40"/>
        <v>60200203</v>
      </c>
      <c r="CT57" s="62">
        <f t="shared" si="40"/>
        <v>877688692</v>
      </c>
      <c r="CU57" s="62">
        <f t="shared" si="40"/>
        <v>24460870</v>
      </c>
      <c r="CV57" s="62">
        <f t="shared" si="40"/>
        <v>0</v>
      </c>
      <c r="CW57" s="62">
        <f t="shared" si="40"/>
        <v>0</v>
      </c>
      <c r="CX57" s="62">
        <f t="shared" si="40"/>
        <v>0</v>
      </c>
      <c r="CY57" s="62">
        <f t="shared" si="40"/>
        <v>0</v>
      </c>
      <c r="CZ57" s="62">
        <f t="shared" si="40"/>
        <v>0</v>
      </c>
      <c r="DA57" s="62">
        <f t="shared" si="40"/>
        <v>0</v>
      </c>
      <c r="DB57" s="62">
        <f t="shared" si="40"/>
        <v>0</v>
      </c>
      <c r="DC57" s="62">
        <f t="shared" si="40"/>
        <v>1253899884</v>
      </c>
      <c r="DD57" s="62">
        <f t="shared" si="40"/>
        <v>0</v>
      </c>
      <c r="DE57" s="62">
        <f t="shared" si="40"/>
        <v>0</v>
      </c>
      <c r="DF57" s="62">
        <f t="shared" si="40"/>
        <v>286841413</v>
      </c>
      <c r="DG57" s="62">
        <f t="shared" si="40"/>
        <v>0</v>
      </c>
      <c r="DH57" s="62">
        <f t="shared" si="40"/>
        <v>75082063</v>
      </c>
      <c r="DI57" s="62">
        <f t="shared" si="40"/>
        <v>0</v>
      </c>
      <c r="DJ57" s="62">
        <f t="shared" si="40"/>
        <v>0</v>
      </c>
      <c r="DK57" s="62">
        <f t="shared" si="40"/>
        <v>54114814</v>
      </c>
      <c r="DN57" s="150" t="s">
        <v>379</v>
      </c>
      <c r="DO57" s="26">
        <v>7127077871</v>
      </c>
      <c r="DP57" s="26">
        <v>4494789932</v>
      </c>
      <c r="DQ57" s="151">
        <f t="shared" si="31"/>
        <v>0.63066378863197914</v>
      </c>
    </row>
    <row r="58" spans="1:121" ht="62.25" hidden="1" customHeight="1" thickTop="1" x14ac:dyDescent="0.25">
      <c r="A58" s="198" t="s">
        <v>190</v>
      </c>
      <c r="B58" s="191" t="s">
        <v>191</v>
      </c>
      <c r="C58" s="30" t="s">
        <v>192</v>
      </c>
      <c r="D58" s="19" t="s">
        <v>193</v>
      </c>
      <c r="E58" s="20">
        <v>520</v>
      </c>
      <c r="F58" s="21" t="s">
        <v>194</v>
      </c>
      <c r="G58" s="22">
        <f t="shared" ref="G58:G78" si="41">SUM(H58:AA58)</f>
        <v>175000000</v>
      </c>
      <c r="H58" s="22"/>
      <c r="I58" s="22">
        <v>100000000</v>
      </c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>
        <f>62000000+1000000+5000000+2000000+5000000</f>
        <v>75000000</v>
      </c>
      <c r="AB58" s="23">
        <f t="shared" si="1"/>
        <v>0.83731680571428568</v>
      </c>
      <c r="AC58" s="22">
        <f>SUM(AD58:AW58)</f>
        <v>146530441</v>
      </c>
      <c r="AD58" s="22"/>
      <c r="AE58" s="22">
        <f>+'[3]JUNIO 2017'!$K$1709</f>
        <v>99997584</v>
      </c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>
        <f>+'[5]AGOSTO 2017'!$AC$2705</f>
        <v>46532857</v>
      </c>
      <c r="AX58" s="23">
        <f t="shared" si="3"/>
        <v>0.16268319428571432</v>
      </c>
      <c r="AY58" s="22">
        <f t="shared" ref="AY58:AY78" si="42">SUM(AZ58:BS58)</f>
        <v>28469559</v>
      </c>
      <c r="AZ58" s="22">
        <f>H58-AD58</f>
        <v>0</v>
      </c>
      <c r="BA58" s="22">
        <f t="shared" ref="BA58:BP74" si="43">I58-AE58</f>
        <v>2416</v>
      </c>
      <c r="BB58" s="22">
        <f t="shared" si="43"/>
        <v>0</v>
      </c>
      <c r="BC58" s="22">
        <f t="shared" si="43"/>
        <v>0</v>
      </c>
      <c r="BD58" s="22">
        <f t="shared" si="43"/>
        <v>0</v>
      </c>
      <c r="BE58" s="22">
        <f t="shared" si="43"/>
        <v>0</v>
      </c>
      <c r="BF58" s="22">
        <f t="shared" si="43"/>
        <v>0</v>
      </c>
      <c r="BG58" s="22">
        <f t="shared" si="43"/>
        <v>0</v>
      </c>
      <c r="BH58" s="22">
        <f t="shared" si="43"/>
        <v>0</v>
      </c>
      <c r="BI58" s="22">
        <f t="shared" si="43"/>
        <v>0</v>
      </c>
      <c r="BJ58" s="22">
        <f t="shared" si="43"/>
        <v>0</v>
      </c>
      <c r="BK58" s="22">
        <f t="shared" si="43"/>
        <v>0</v>
      </c>
      <c r="BL58" s="22">
        <f t="shared" si="43"/>
        <v>0</v>
      </c>
      <c r="BM58" s="22">
        <f t="shared" si="43"/>
        <v>0</v>
      </c>
      <c r="BN58" s="22">
        <f t="shared" si="43"/>
        <v>0</v>
      </c>
      <c r="BO58" s="22">
        <f t="shared" si="43"/>
        <v>0</v>
      </c>
      <c r="BP58" s="22">
        <f t="shared" si="43"/>
        <v>0</v>
      </c>
      <c r="BQ58" s="22">
        <f t="shared" ref="BQ58:BS78" si="44">Y58-AU58</f>
        <v>0</v>
      </c>
      <c r="BR58" s="22">
        <f t="shared" si="44"/>
        <v>0</v>
      </c>
      <c r="BS58" s="22">
        <f t="shared" si="44"/>
        <v>28467143</v>
      </c>
      <c r="BT58" s="23">
        <f t="shared" si="7"/>
        <v>0.83663109142857139</v>
      </c>
      <c r="BU58" s="22">
        <f t="shared" ref="BU58:BU78" si="45">SUM(BV58:CO58)</f>
        <v>146410441</v>
      </c>
      <c r="BV58" s="22"/>
      <c r="BW58" s="22">
        <f>+'[5]AGOSTO 2017'!$K$2705</f>
        <v>99997584</v>
      </c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>
        <f>+'[5]AGOSTO 2017'!$H$2703-BW58</f>
        <v>46412857</v>
      </c>
      <c r="CP58" s="23">
        <f t="shared" si="9"/>
        <v>0.16336890857142861</v>
      </c>
      <c r="CQ58" s="22">
        <f t="shared" ref="CQ58:CQ78" si="46">SUM(CR58:DK58)</f>
        <v>28589559</v>
      </c>
      <c r="CR58" s="22">
        <f>H58-BV58</f>
        <v>0</v>
      </c>
      <c r="CS58" s="22">
        <f t="shared" ref="CS58:DH74" si="47">I58-BW58</f>
        <v>2416</v>
      </c>
      <c r="CT58" s="22">
        <f t="shared" si="47"/>
        <v>0</v>
      </c>
      <c r="CU58" s="22">
        <f t="shared" si="47"/>
        <v>0</v>
      </c>
      <c r="CV58" s="22">
        <f t="shared" si="47"/>
        <v>0</v>
      </c>
      <c r="CW58" s="22">
        <f t="shared" si="47"/>
        <v>0</v>
      </c>
      <c r="CX58" s="22">
        <f t="shared" si="47"/>
        <v>0</v>
      </c>
      <c r="CY58" s="22">
        <f t="shared" si="47"/>
        <v>0</v>
      </c>
      <c r="CZ58" s="22">
        <f t="shared" si="47"/>
        <v>0</v>
      </c>
      <c r="DA58" s="22">
        <f t="shared" si="47"/>
        <v>0</v>
      </c>
      <c r="DB58" s="22">
        <f t="shared" si="47"/>
        <v>0</v>
      </c>
      <c r="DC58" s="22">
        <f t="shared" si="47"/>
        <v>0</v>
      </c>
      <c r="DD58" s="22">
        <f t="shared" si="47"/>
        <v>0</v>
      </c>
      <c r="DE58" s="22">
        <f t="shared" si="47"/>
        <v>0</v>
      </c>
      <c r="DF58" s="22">
        <f t="shared" si="47"/>
        <v>0</v>
      </c>
      <c r="DG58" s="22">
        <f t="shared" si="47"/>
        <v>0</v>
      </c>
      <c r="DH58" s="22">
        <f t="shared" si="47"/>
        <v>0</v>
      </c>
      <c r="DI58" s="22">
        <f t="shared" ref="DI58:DK78" si="48">Y58-CM58</f>
        <v>0</v>
      </c>
      <c r="DJ58" s="22">
        <f t="shared" si="48"/>
        <v>0</v>
      </c>
      <c r="DK58" s="22">
        <f t="shared" si="48"/>
        <v>28587143</v>
      </c>
      <c r="DN58" s="152"/>
      <c r="DO58" s="26">
        <v>175000000</v>
      </c>
      <c r="DP58" s="26">
        <v>146410441</v>
      </c>
      <c r="DQ58" s="151">
        <f t="shared" si="31"/>
        <v>0.83663109142857139</v>
      </c>
    </row>
    <row r="59" spans="1:121" ht="33.75" hidden="1" x14ac:dyDescent="0.25">
      <c r="A59" s="199"/>
      <c r="B59" s="189"/>
      <c r="C59" s="30" t="s">
        <v>195</v>
      </c>
      <c r="D59" s="19" t="s">
        <v>196</v>
      </c>
      <c r="E59" s="20">
        <v>520</v>
      </c>
      <c r="F59" s="63" t="s">
        <v>197</v>
      </c>
      <c r="G59" s="22">
        <f t="shared" si="41"/>
        <v>0</v>
      </c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>
        <f>7000000-5000000-2000000</f>
        <v>0</v>
      </c>
      <c r="AB59" s="23" t="e">
        <f t="shared" si="1"/>
        <v>#DIV/0!</v>
      </c>
      <c r="AC59" s="22">
        <f>SUM(AD59:AW59)</f>
        <v>0</v>
      </c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3" t="e">
        <f t="shared" si="3"/>
        <v>#DIV/0!</v>
      </c>
      <c r="AY59" s="22">
        <f t="shared" si="42"/>
        <v>0</v>
      </c>
      <c r="AZ59" s="22">
        <f t="shared" ref="AZ59:BO78" si="49">H59-AD59</f>
        <v>0</v>
      </c>
      <c r="BA59" s="22">
        <f t="shared" si="43"/>
        <v>0</v>
      </c>
      <c r="BB59" s="22">
        <f t="shared" si="43"/>
        <v>0</v>
      </c>
      <c r="BC59" s="22">
        <f t="shared" si="43"/>
        <v>0</v>
      </c>
      <c r="BD59" s="22">
        <f t="shared" si="43"/>
        <v>0</v>
      </c>
      <c r="BE59" s="22">
        <f t="shared" si="43"/>
        <v>0</v>
      </c>
      <c r="BF59" s="22">
        <f t="shared" si="43"/>
        <v>0</v>
      </c>
      <c r="BG59" s="22">
        <f t="shared" si="43"/>
        <v>0</v>
      </c>
      <c r="BH59" s="22">
        <f t="shared" si="43"/>
        <v>0</v>
      </c>
      <c r="BI59" s="22">
        <f t="shared" si="43"/>
        <v>0</v>
      </c>
      <c r="BJ59" s="22">
        <f t="shared" si="43"/>
        <v>0</v>
      </c>
      <c r="BK59" s="22">
        <f t="shared" si="43"/>
        <v>0</v>
      </c>
      <c r="BL59" s="22">
        <f t="shared" si="43"/>
        <v>0</v>
      </c>
      <c r="BM59" s="22">
        <f t="shared" si="43"/>
        <v>0</v>
      </c>
      <c r="BN59" s="22">
        <f t="shared" si="43"/>
        <v>0</v>
      </c>
      <c r="BO59" s="22">
        <f t="shared" si="43"/>
        <v>0</v>
      </c>
      <c r="BP59" s="22">
        <f t="shared" si="43"/>
        <v>0</v>
      </c>
      <c r="BQ59" s="22">
        <f t="shared" si="44"/>
        <v>0</v>
      </c>
      <c r="BR59" s="22">
        <f t="shared" si="44"/>
        <v>0</v>
      </c>
      <c r="BS59" s="22">
        <f t="shared" si="44"/>
        <v>0</v>
      </c>
      <c r="BT59" s="23" t="e">
        <f t="shared" si="7"/>
        <v>#DIV/0!</v>
      </c>
      <c r="BU59" s="22">
        <f t="shared" si="45"/>
        <v>0</v>
      </c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3" t="e">
        <f t="shared" si="9"/>
        <v>#DIV/0!</v>
      </c>
      <c r="CQ59" s="22">
        <f t="shared" si="46"/>
        <v>0</v>
      </c>
      <c r="CR59" s="22">
        <f t="shared" ref="CR59:DG78" si="50">H59-BV59</f>
        <v>0</v>
      </c>
      <c r="CS59" s="22">
        <f t="shared" si="47"/>
        <v>0</v>
      </c>
      <c r="CT59" s="22">
        <f t="shared" si="47"/>
        <v>0</v>
      </c>
      <c r="CU59" s="22">
        <f t="shared" si="47"/>
        <v>0</v>
      </c>
      <c r="CV59" s="22">
        <f t="shared" si="47"/>
        <v>0</v>
      </c>
      <c r="CW59" s="22">
        <f t="shared" si="47"/>
        <v>0</v>
      </c>
      <c r="CX59" s="22">
        <f t="shared" si="47"/>
        <v>0</v>
      </c>
      <c r="CY59" s="22">
        <f t="shared" si="47"/>
        <v>0</v>
      </c>
      <c r="CZ59" s="22">
        <f t="shared" si="47"/>
        <v>0</v>
      </c>
      <c r="DA59" s="22">
        <f t="shared" si="47"/>
        <v>0</v>
      </c>
      <c r="DB59" s="22">
        <f t="shared" si="47"/>
        <v>0</v>
      </c>
      <c r="DC59" s="22">
        <f t="shared" si="47"/>
        <v>0</v>
      </c>
      <c r="DD59" s="22">
        <f t="shared" si="47"/>
        <v>0</v>
      </c>
      <c r="DE59" s="22">
        <f t="shared" si="47"/>
        <v>0</v>
      </c>
      <c r="DF59" s="22">
        <f t="shared" si="47"/>
        <v>0</v>
      </c>
      <c r="DG59" s="22">
        <f t="shared" si="47"/>
        <v>0</v>
      </c>
      <c r="DH59" s="22">
        <f t="shared" si="47"/>
        <v>0</v>
      </c>
      <c r="DI59" s="22">
        <f t="shared" si="48"/>
        <v>0</v>
      </c>
      <c r="DJ59" s="22">
        <f t="shared" si="48"/>
        <v>0</v>
      </c>
      <c r="DK59" s="22">
        <f t="shared" si="48"/>
        <v>0</v>
      </c>
      <c r="DN59" s="152"/>
      <c r="DO59" s="26">
        <v>0</v>
      </c>
      <c r="DP59" s="26">
        <v>0</v>
      </c>
      <c r="DQ59" s="151" t="e">
        <f t="shared" si="31"/>
        <v>#DIV/0!</v>
      </c>
    </row>
    <row r="60" spans="1:121" ht="47.25" hidden="1" customHeight="1" x14ac:dyDescent="0.25">
      <c r="A60" s="199"/>
      <c r="B60" s="190"/>
      <c r="C60" s="30" t="s">
        <v>198</v>
      </c>
      <c r="D60" s="19" t="s">
        <v>199</v>
      </c>
      <c r="E60" s="20">
        <v>520</v>
      </c>
      <c r="F60" s="21" t="s">
        <v>200</v>
      </c>
      <c r="G60" s="22">
        <f t="shared" si="41"/>
        <v>6000000</v>
      </c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>
        <f>2000000+4000000</f>
        <v>6000000</v>
      </c>
      <c r="AB60" s="23">
        <f t="shared" si="1"/>
        <v>0.11666666666666667</v>
      </c>
      <c r="AC60" s="22">
        <f t="shared" ref="AC60:AC78" si="51">SUM(AD60:AW60)</f>
        <v>700000</v>
      </c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>
        <f>+'[8]ABRIL 2017'!$G$1288</f>
        <v>700000</v>
      </c>
      <c r="AX60" s="23">
        <f t="shared" si="3"/>
        <v>0.8833333333333333</v>
      </c>
      <c r="AY60" s="22">
        <f t="shared" si="42"/>
        <v>5300000</v>
      </c>
      <c r="AZ60" s="22">
        <f t="shared" si="49"/>
        <v>0</v>
      </c>
      <c r="BA60" s="22">
        <f t="shared" si="43"/>
        <v>0</v>
      </c>
      <c r="BB60" s="22">
        <f t="shared" si="43"/>
        <v>0</v>
      </c>
      <c r="BC60" s="22">
        <f t="shared" si="43"/>
        <v>0</v>
      </c>
      <c r="BD60" s="22">
        <f t="shared" si="43"/>
        <v>0</v>
      </c>
      <c r="BE60" s="22">
        <f t="shared" si="43"/>
        <v>0</v>
      </c>
      <c r="BF60" s="22">
        <f t="shared" si="43"/>
        <v>0</v>
      </c>
      <c r="BG60" s="22">
        <f t="shared" si="43"/>
        <v>0</v>
      </c>
      <c r="BH60" s="22">
        <f t="shared" si="43"/>
        <v>0</v>
      </c>
      <c r="BI60" s="22">
        <f t="shared" si="43"/>
        <v>0</v>
      </c>
      <c r="BJ60" s="22">
        <f t="shared" si="43"/>
        <v>0</v>
      </c>
      <c r="BK60" s="22">
        <f t="shared" si="43"/>
        <v>0</v>
      </c>
      <c r="BL60" s="22">
        <f t="shared" si="43"/>
        <v>0</v>
      </c>
      <c r="BM60" s="22">
        <f t="shared" si="43"/>
        <v>0</v>
      </c>
      <c r="BN60" s="22">
        <f t="shared" si="43"/>
        <v>0</v>
      </c>
      <c r="BO60" s="22">
        <f t="shared" si="43"/>
        <v>0</v>
      </c>
      <c r="BP60" s="22">
        <f t="shared" si="43"/>
        <v>0</v>
      </c>
      <c r="BQ60" s="22">
        <f t="shared" si="44"/>
        <v>0</v>
      </c>
      <c r="BR60" s="22">
        <f t="shared" si="44"/>
        <v>0</v>
      </c>
      <c r="BS60" s="22">
        <f t="shared" si="44"/>
        <v>5300000</v>
      </c>
      <c r="BT60" s="23">
        <f t="shared" si="7"/>
        <v>0.11666666666666667</v>
      </c>
      <c r="BU60" s="22">
        <f t="shared" si="45"/>
        <v>700000</v>
      </c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>
        <f>+'[8]ABRIL 2017'!$H$1288</f>
        <v>700000</v>
      </c>
      <c r="CP60" s="23">
        <f t="shared" si="9"/>
        <v>0.8833333333333333</v>
      </c>
      <c r="CQ60" s="22">
        <f t="shared" si="46"/>
        <v>5300000</v>
      </c>
      <c r="CR60" s="22">
        <f t="shared" si="50"/>
        <v>0</v>
      </c>
      <c r="CS60" s="22">
        <f t="shared" si="47"/>
        <v>0</v>
      </c>
      <c r="CT60" s="22">
        <f t="shared" si="47"/>
        <v>0</v>
      </c>
      <c r="CU60" s="22">
        <f t="shared" si="47"/>
        <v>0</v>
      </c>
      <c r="CV60" s="22">
        <f t="shared" si="47"/>
        <v>0</v>
      </c>
      <c r="CW60" s="22">
        <f t="shared" si="47"/>
        <v>0</v>
      </c>
      <c r="CX60" s="22">
        <f t="shared" si="47"/>
        <v>0</v>
      </c>
      <c r="CY60" s="22">
        <f t="shared" si="47"/>
        <v>0</v>
      </c>
      <c r="CZ60" s="22">
        <f t="shared" si="47"/>
        <v>0</v>
      </c>
      <c r="DA60" s="22">
        <f t="shared" si="47"/>
        <v>0</v>
      </c>
      <c r="DB60" s="22">
        <f t="shared" si="47"/>
        <v>0</v>
      </c>
      <c r="DC60" s="22">
        <f t="shared" si="47"/>
        <v>0</v>
      </c>
      <c r="DD60" s="22">
        <f t="shared" si="47"/>
        <v>0</v>
      </c>
      <c r="DE60" s="22">
        <f t="shared" si="47"/>
        <v>0</v>
      </c>
      <c r="DF60" s="22">
        <f t="shared" si="47"/>
        <v>0</v>
      </c>
      <c r="DG60" s="22">
        <f t="shared" si="47"/>
        <v>0</v>
      </c>
      <c r="DH60" s="22">
        <f t="shared" si="47"/>
        <v>0</v>
      </c>
      <c r="DI60" s="22">
        <f t="shared" si="48"/>
        <v>0</v>
      </c>
      <c r="DJ60" s="22">
        <f t="shared" si="48"/>
        <v>0</v>
      </c>
      <c r="DK60" s="22">
        <f t="shared" si="48"/>
        <v>5300000</v>
      </c>
      <c r="DN60" s="152"/>
      <c r="DO60" s="26">
        <v>6000000</v>
      </c>
      <c r="DP60" s="26">
        <v>700000</v>
      </c>
      <c r="DQ60" s="151">
        <f t="shared" si="31"/>
        <v>0.11666666666666667</v>
      </c>
    </row>
    <row r="61" spans="1:121" ht="34.5" hidden="1" customHeight="1" x14ac:dyDescent="0.25">
      <c r="A61" s="199"/>
      <c r="B61" s="64" t="s">
        <v>201</v>
      </c>
      <c r="C61" s="30" t="s">
        <v>202</v>
      </c>
      <c r="D61" s="19" t="s">
        <v>203</v>
      </c>
      <c r="E61" s="20">
        <v>520</v>
      </c>
      <c r="F61" s="21" t="s">
        <v>204</v>
      </c>
      <c r="G61" s="22">
        <f t="shared" si="41"/>
        <v>70000000</v>
      </c>
      <c r="H61" s="22"/>
      <c r="I61" s="22">
        <v>20000000</v>
      </c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>
        <f>10000000+30000000+10000000</f>
        <v>50000000</v>
      </c>
      <c r="W61" s="22"/>
      <c r="X61" s="22"/>
      <c r="Y61" s="22"/>
      <c r="Z61" s="22"/>
      <c r="AA61" s="22">
        <f>4826876-4826876</f>
        <v>0</v>
      </c>
      <c r="AB61" s="23">
        <f t="shared" si="1"/>
        <v>0.60077199999999997</v>
      </c>
      <c r="AC61" s="22">
        <f t="shared" si="51"/>
        <v>42054040</v>
      </c>
      <c r="AD61" s="22"/>
      <c r="AE61" s="22">
        <f>+'[8]ABRIL 2017'!$K$1297</f>
        <v>20000000</v>
      </c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>
        <f>+'[5]AGOSTO 2017'!$X$2785</f>
        <v>22054040</v>
      </c>
      <c r="AS61" s="22"/>
      <c r="AT61" s="22"/>
      <c r="AU61" s="22"/>
      <c r="AV61" s="22"/>
      <c r="AW61" s="22"/>
      <c r="AX61" s="23">
        <f t="shared" si="3"/>
        <v>0.39922800000000003</v>
      </c>
      <c r="AY61" s="22">
        <f t="shared" si="42"/>
        <v>27945960</v>
      </c>
      <c r="AZ61" s="22">
        <f t="shared" si="49"/>
        <v>0</v>
      </c>
      <c r="BA61" s="22">
        <f t="shared" si="43"/>
        <v>0</v>
      </c>
      <c r="BB61" s="22">
        <f t="shared" si="43"/>
        <v>0</v>
      </c>
      <c r="BC61" s="22">
        <f t="shared" si="43"/>
        <v>0</v>
      </c>
      <c r="BD61" s="22">
        <f t="shared" si="43"/>
        <v>0</v>
      </c>
      <c r="BE61" s="22">
        <f t="shared" si="43"/>
        <v>0</v>
      </c>
      <c r="BF61" s="22">
        <f t="shared" si="43"/>
        <v>0</v>
      </c>
      <c r="BG61" s="22">
        <f t="shared" si="43"/>
        <v>0</v>
      </c>
      <c r="BH61" s="22">
        <f t="shared" si="43"/>
        <v>0</v>
      </c>
      <c r="BI61" s="22">
        <f t="shared" si="43"/>
        <v>0</v>
      </c>
      <c r="BJ61" s="22">
        <f t="shared" si="43"/>
        <v>0</v>
      </c>
      <c r="BK61" s="22">
        <f t="shared" si="43"/>
        <v>0</v>
      </c>
      <c r="BL61" s="22">
        <f t="shared" si="43"/>
        <v>0</v>
      </c>
      <c r="BM61" s="22">
        <f t="shared" si="43"/>
        <v>0</v>
      </c>
      <c r="BN61" s="22">
        <f t="shared" si="43"/>
        <v>27945960</v>
      </c>
      <c r="BO61" s="22">
        <f t="shared" si="43"/>
        <v>0</v>
      </c>
      <c r="BP61" s="22">
        <f t="shared" si="43"/>
        <v>0</v>
      </c>
      <c r="BQ61" s="22">
        <f t="shared" si="44"/>
        <v>0</v>
      </c>
      <c r="BR61" s="22">
        <f t="shared" si="44"/>
        <v>0</v>
      </c>
      <c r="BS61" s="22">
        <f t="shared" si="44"/>
        <v>0</v>
      </c>
      <c r="BT61" s="23">
        <f t="shared" si="7"/>
        <v>0.60077199999999997</v>
      </c>
      <c r="BU61" s="22">
        <f t="shared" si="45"/>
        <v>42054040</v>
      </c>
      <c r="BV61" s="22"/>
      <c r="BW61" s="22">
        <f>+'[4]MAYO 2017'!$H$1506+'[4]MAYO 2017'!$H$1509+'[4]MAYO 2017'!$H$1523</f>
        <v>20000000</v>
      </c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>
        <f>+'[5]AGOSTO 2017'!$H$2783-BW61</f>
        <v>22054040</v>
      </c>
      <c r="CK61" s="22"/>
      <c r="CL61" s="22"/>
      <c r="CM61" s="22"/>
      <c r="CN61" s="22"/>
      <c r="CO61" s="22"/>
      <c r="CP61" s="23">
        <f t="shared" si="9"/>
        <v>0.39922800000000003</v>
      </c>
      <c r="CQ61" s="22">
        <f t="shared" si="46"/>
        <v>27945960</v>
      </c>
      <c r="CR61" s="22">
        <f t="shared" si="50"/>
        <v>0</v>
      </c>
      <c r="CS61" s="22">
        <f t="shared" si="47"/>
        <v>0</v>
      </c>
      <c r="CT61" s="22">
        <f t="shared" si="47"/>
        <v>0</v>
      </c>
      <c r="CU61" s="22">
        <f t="shared" si="47"/>
        <v>0</v>
      </c>
      <c r="CV61" s="22">
        <f t="shared" si="47"/>
        <v>0</v>
      </c>
      <c r="CW61" s="22">
        <f t="shared" si="47"/>
        <v>0</v>
      </c>
      <c r="CX61" s="22">
        <f t="shared" si="47"/>
        <v>0</v>
      </c>
      <c r="CY61" s="22">
        <f t="shared" si="47"/>
        <v>0</v>
      </c>
      <c r="CZ61" s="22">
        <f t="shared" si="47"/>
        <v>0</v>
      </c>
      <c r="DA61" s="22">
        <f t="shared" si="47"/>
        <v>0</v>
      </c>
      <c r="DB61" s="22">
        <f t="shared" si="47"/>
        <v>0</v>
      </c>
      <c r="DC61" s="22">
        <f t="shared" si="47"/>
        <v>0</v>
      </c>
      <c r="DD61" s="22">
        <f t="shared" si="47"/>
        <v>0</v>
      </c>
      <c r="DE61" s="22">
        <f t="shared" si="47"/>
        <v>0</v>
      </c>
      <c r="DF61" s="22">
        <f t="shared" si="47"/>
        <v>27945960</v>
      </c>
      <c r="DG61" s="22">
        <f t="shared" si="47"/>
        <v>0</v>
      </c>
      <c r="DH61" s="22">
        <f t="shared" si="47"/>
        <v>0</v>
      </c>
      <c r="DI61" s="22">
        <f t="shared" si="48"/>
        <v>0</v>
      </c>
      <c r="DJ61" s="22">
        <f t="shared" si="48"/>
        <v>0</v>
      </c>
      <c r="DK61" s="22">
        <f t="shared" si="48"/>
        <v>0</v>
      </c>
      <c r="DN61" s="152"/>
      <c r="DO61" s="26">
        <v>70000000</v>
      </c>
      <c r="DP61" s="26">
        <v>42054040</v>
      </c>
      <c r="DQ61" s="151">
        <f t="shared" si="31"/>
        <v>0.60077199999999997</v>
      </c>
    </row>
    <row r="62" spans="1:121" ht="36.75" hidden="1" customHeight="1" x14ac:dyDescent="0.25">
      <c r="A62" s="199"/>
      <c r="B62" s="191" t="s">
        <v>205</v>
      </c>
      <c r="C62" s="30" t="s">
        <v>206</v>
      </c>
      <c r="D62" s="19" t="s">
        <v>207</v>
      </c>
      <c r="E62" s="20">
        <v>520</v>
      </c>
      <c r="F62" s="21" t="s">
        <v>107</v>
      </c>
      <c r="G62" s="22">
        <f t="shared" si="41"/>
        <v>20000000</v>
      </c>
      <c r="H62" s="33"/>
      <c r="I62" s="33"/>
      <c r="J62" s="33"/>
      <c r="K62" s="33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>
        <f>130000000-110000000</f>
        <v>20000000</v>
      </c>
      <c r="W62" s="22"/>
      <c r="X62" s="22"/>
      <c r="Y62" s="22"/>
      <c r="Z62" s="22"/>
      <c r="AA62" s="22"/>
      <c r="AB62" s="23">
        <f t="shared" si="1"/>
        <v>1</v>
      </c>
      <c r="AC62" s="22">
        <f t="shared" si="51"/>
        <v>20000000</v>
      </c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>
        <f>+'[2]FEBRERO 2017'!$X$1124</f>
        <v>20000000</v>
      </c>
      <c r="AS62" s="22"/>
      <c r="AT62" s="22"/>
      <c r="AU62" s="22"/>
      <c r="AV62" s="22"/>
      <c r="AW62" s="22"/>
      <c r="AX62" s="23">
        <f t="shared" si="3"/>
        <v>0</v>
      </c>
      <c r="AY62" s="22">
        <f t="shared" si="42"/>
        <v>0</v>
      </c>
      <c r="AZ62" s="22">
        <f t="shared" si="49"/>
        <v>0</v>
      </c>
      <c r="BA62" s="22">
        <f t="shared" si="43"/>
        <v>0</v>
      </c>
      <c r="BB62" s="22">
        <f t="shared" si="43"/>
        <v>0</v>
      </c>
      <c r="BC62" s="22">
        <f t="shared" si="43"/>
        <v>0</v>
      </c>
      <c r="BD62" s="22">
        <f t="shared" si="43"/>
        <v>0</v>
      </c>
      <c r="BE62" s="22">
        <f t="shared" si="43"/>
        <v>0</v>
      </c>
      <c r="BF62" s="22">
        <f t="shared" si="43"/>
        <v>0</v>
      </c>
      <c r="BG62" s="22">
        <f t="shared" si="43"/>
        <v>0</v>
      </c>
      <c r="BH62" s="22">
        <f t="shared" si="43"/>
        <v>0</v>
      </c>
      <c r="BI62" s="22">
        <f t="shared" si="43"/>
        <v>0</v>
      </c>
      <c r="BJ62" s="22">
        <f t="shared" si="43"/>
        <v>0</v>
      </c>
      <c r="BK62" s="22">
        <f t="shared" si="43"/>
        <v>0</v>
      </c>
      <c r="BL62" s="22">
        <f t="shared" si="43"/>
        <v>0</v>
      </c>
      <c r="BM62" s="22">
        <f t="shared" si="43"/>
        <v>0</v>
      </c>
      <c r="BN62" s="22">
        <f t="shared" si="43"/>
        <v>0</v>
      </c>
      <c r="BO62" s="22">
        <f t="shared" si="43"/>
        <v>0</v>
      </c>
      <c r="BP62" s="22">
        <f t="shared" si="43"/>
        <v>0</v>
      </c>
      <c r="BQ62" s="22">
        <f t="shared" si="44"/>
        <v>0</v>
      </c>
      <c r="BR62" s="22">
        <f t="shared" si="44"/>
        <v>0</v>
      </c>
      <c r="BS62" s="22">
        <f t="shared" si="44"/>
        <v>0</v>
      </c>
      <c r="BT62" s="23">
        <f t="shared" si="7"/>
        <v>0.60764359999999995</v>
      </c>
      <c r="BU62" s="22">
        <f t="shared" si="45"/>
        <v>12152872</v>
      </c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>
        <f>+'[5]AGOSTO 2017'!$H$2829</f>
        <v>12152872</v>
      </c>
      <c r="CK62" s="22"/>
      <c r="CL62" s="22"/>
      <c r="CM62" s="22"/>
      <c r="CN62" s="22"/>
      <c r="CO62" s="22"/>
      <c r="CP62" s="23">
        <f t="shared" si="9"/>
        <v>0.39235640000000005</v>
      </c>
      <c r="CQ62" s="22">
        <f t="shared" si="46"/>
        <v>7847128</v>
      </c>
      <c r="CR62" s="22">
        <f t="shared" si="50"/>
        <v>0</v>
      </c>
      <c r="CS62" s="22">
        <f t="shared" si="47"/>
        <v>0</v>
      </c>
      <c r="CT62" s="22">
        <f t="shared" si="47"/>
        <v>0</v>
      </c>
      <c r="CU62" s="22">
        <f t="shared" si="47"/>
        <v>0</v>
      </c>
      <c r="CV62" s="22">
        <f t="shared" si="47"/>
        <v>0</v>
      </c>
      <c r="CW62" s="22">
        <f t="shared" si="47"/>
        <v>0</v>
      </c>
      <c r="CX62" s="22">
        <f t="shared" si="47"/>
        <v>0</v>
      </c>
      <c r="CY62" s="22">
        <f t="shared" si="47"/>
        <v>0</v>
      </c>
      <c r="CZ62" s="22">
        <f t="shared" si="47"/>
        <v>0</v>
      </c>
      <c r="DA62" s="22">
        <f t="shared" si="47"/>
        <v>0</v>
      </c>
      <c r="DB62" s="22">
        <f t="shared" si="47"/>
        <v>0</v>
      </c>
      <c r="DC62" s="22">
        <f t="shared" si="47"/>
        <v>0</v>
      </c>
      <c r="DD62" s="22">
        <f t="shared" si="47"/>
        <v>0</v>
      </c>
      <c r="DE62" s="22">
        <f t="shared" si="47"/>
        <v>0</v>
      </c>
      <c r="DF62" s="22">
        <f t="shared" si="47"/>
        <v>7847128</v>
      </c>
      <c r="DG62" s="22">
        <f t="shared" si="47"/>
        <v>0</v>
      </c>
      <c r="DH62" s="22">
        <f t="shared" si="47"/>
        <v>0</v>
      </c>
      <c r="DI62" s="22">
        <f t="shared" si="48"/>
        <v>0</v>
      </c>
      <c r="DJ62" s="22">
        <f t="shared" si="48"/>
        <v>0</v>
      </c>
      <c r="DK62" s="22">
        <f t="shared" si="48"/>
        <v>0</v>
      </c>
      <c r="DN62" s="152"/>
      <c r="DO62" s="26">
        <v>20000000</v>
      </c>
      <c r="DP62" s="26">
        <v>12152872</v>
      </c>
      <c r="DQ62" s="151">
        <f t="shared" si="31"/>
        <v>0.60764359999999995</v>
      </c>
    </row>
    <row r="63" spans="1:121" ht="33.75" hidden="1" customHeight="1" x14ac:dyDescent="0.25">
      <c r="A63" s="199"/>
      <c r="B63" s="189"/>
      <c r="C63" s="30" t="s">
        <v>208</v>
      </c>
      <c r="D63" s="19" t="s">
        <v>209</v>
      </c>
      <c r="E63" s="20">
        <v>520</v>
      </c>
      <c r="F63" s="21" t="s">
        <v>112</v>
      </c>
      <c r="G63" s="22">
        <f t="shared" si="41"/>
        <v>1030432040</v>
      </c>
      <c r="H63" s="49"/>
      <c r="I63" s="33"/>
      <c r="J63" s="33"/>
      <c r="K63" s="33"/>
      <c r="L63" s="22"/>
      <c r="M63" s="22"/>
      <c r="N63" s="22"/>
      <c r="O63" s="22"/>
      <c r="P63" s="22"/>
      <c r="Q63" s="22"/>
      <c r="R63" s="22"/>
      <c r="S63" s="22">
        <f>1000000000+18432040</f>
        <v>1018432040</v>
      </c>
      <c r="T63" s="22"/>
      <c r="U63" s="22"/>
      <c r="V63" s="22"/>
      <c r="W63" s="22"/>
      <c r="X63" s="22"/>
      <c r="Y63" s="22"/>
      <c r="Z63" s="22"/>
      <c r="AA63" s="22">
        <f>12000000</f>
        <v>12000000</v>
      </c>
      <c r="AB63" s="23">
        <f t="shared" si="1"/>
        <v>0.75768793058880424</v>
      </c>
      <c r="AC63" s="22">
        <f t="shared" si="51"/>
        <v>780745920</v>
      </c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>
        <f>+'[4]MAYO 2017'!$U$1546</f>
        <v>780745920</v>
      </c>
      <c r="AP63" s="22"/>
      <c r="AQ63" s="22"/>
      <c r="AR63" s="22"/>
      <c r="AS63" s="22"/>
      <c r="AT63" s="22"/>
      <c r="AU63" s="22"/>
      <c r="AV63" s="22"/>
      <c r="AW63" s="22"/>
      <c r="AX63" s="23">
        <f t="shared" si="3"/>
        <v>0.24231206941119576</v>
      </c>
      <c r="AY63" s="22">
        <f t="shared" si="42"/>
        <v>249686120</v>
      </c>
      <c r="AZ63" s="22">
        <f t="shared" si="49"/>
        <v>0</v>
      </c>
      <c r="BA63" s="22">
        <f t="shared" si="43"/>
        <v>0</v>
      </c>
      <c r="BB63" s="22">
        <f t="shared" si="43"/>
        <v>0</v>
      </c>
      <c r="BC63" s="22">
        <f t="shared" si="43"/>
        <v>0</v>
      </c>
      <c r="BD63" s="22">
        <f t="shared" si="43"/>
        <v>0</v>
      </c>
      <c r="BE63" s="22">
        <f t="shared" si="43"/>
        <v>0</v>
      </c>
      <c r="BF63" s="22">
        <f t="shared" si="43"/>
        <v>0</v>
      </c>
      <c r="BG63" s="22">
        <f t="shared" si="43"/>
        <v>0</v>
      </c>
      <c r="BH63" s="22">
        <f t="shared" si="43"/>
        <v>0</v>
      </c>
      <c r="BI63" s="22">
        <f t="shared" si="43"/>
        <v>0</v>
      </c>
      <c r="BJ63" s="22">
        <f t="shared" si="43"/>
        <v>0</v>
      </c>
      <c r="BK63" s="22">
        <f t="shared" si="43"/>
        <v>237686120</v>
      </c>
      <c r="BL63" s="22">
        <f t="shared" si="43"/>
        <v>0</v>
      </c>
      <c r="BM63" s="22">
        <f t="shared" si="43"/>
        <v>0</v>
      </c>
      <c r="BN63" s="22">
        <f t="shared" si="43"/>
        <v>0</v>
      </c>
      <c r="BO63" s="22">
        <f t="shared" si="43"/>
        <v>0</v>
      </c>
      <c r="BP63" s="22">
        <f t="shared" si="43"/>
        <v>0</v>
      </c>
      <c r="BQ63" s="22">
        <f t="shared" si="44"/>
        <v>0</v>
      </c>
      <c r="BR63" s="22">
        <f t="shared" si="44"/>
        <v>0</v>
      </c>
      <c r="BS63" s="22">
        <f t="shared" si="44"/>
        <v>12000000</v>
      </c>
      <c r="BT63" s="23">
        <f t="shared" si="7"/>
        <v>0.75366372730413156</v>
      </c>
      <c r="BU63" s="22">
        <f t="shared" si="45"/>
        <v>776599252</v>
      </c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>
        <f>+'[5]AGOSTO 2017'!$H$2840</f>
        <v>776599252</v>
      </c>
      <c r="CH63" s="22"/>
      <c r="CI63" s="22"/>
      <c r="CJ63" s="22"/>
      <c r="CK63" s="22"/>
      <c r="CL63" s="22"/>
      <c r="CM63" s="22"/>
      <c r="CN63" s="22"/>
      <c r="CO63" s="22"/>
      <c r="CP63" s="23">
        <f t="shared" si="9"/>
        <v>0.24633627269586844</v>
      </c>
      <c r="CQ63" s="22">
        <f t="shared" si="46"/>
        <v>253832788</v>
      </c>
      <c r="CR63" s="22">
        <f t="shared" si="50"/>
        <v>0</v>
      </c>
      <c r="CS63" s="22">
        <f t="shared" si="47"/>
        <v>0</v>
      </c>
      <c r="CT63" s="22">
        <f t="shared" si="47"/>
        <v>0</v>
      </c>
      <c r="CU63" s="22">
        <f t="shared" si="47"/>
        <v>0</v>
      </c>
      <c r="CV63" s="22">
        <f t="shared" si="47"/>
        <v>0</v>
      </c>
      <c r="CW63" s="22">
        <f t="shared" si="47"/>
        <v>0</v>
      </c>
      <c r="CX63" s="22">
        <f t="shared" si="47"/>
        <v>0</v>
      </c>
      <c r="CY63" s="22">
        <f t="shared" si="47"/>
        <v>0</v>
      </c>
      <c r="CZ63" s="22">
        <f t="shared" si="47"/>
        <v>0</v>
      </c>
      <c r="DA63" s="22">
        <f t="shared" si="47"/>
        <v>0</v>
      </c>
      <c r="DB63" s="22">
        <f t="shared" si="47"/>
        <v>0</v>
      </c>
      <c r="DC63" s="22">
        <f t="shared" si="47"/>
        <v>241832788</v>
      </c>
      <c r="DD63" s="22">
        <f t="shared" si="47"/>
        <v>0</v>
      </c>
      <c r="DE63" s="22">
        <f t="shared" si="47"/>
        <v>0</v>
      </c>
      <c r="DF63" s="22">
        <f t="shared" si="47"/>
        <v>0</v>
      </c>
      <c r="DG63" s="22">
        <f t="shared" si="47"/>
        <v>0</v>
      </c>
      <c r="DH63" s="22">
        <f t="shared" si="47"/>
        <v>0</v>
      </c>
      <c r="DI63" s="22">
        <f t="shared" si="48"/>
        <v>0</v>
      </c>
      <c r="DJ63" s="22">
        <f t="shared" si="48"/>
        <v>0</v>
      </c>
      <c r="DK63" s="22">
        <f t="shared" si="48"/>
        <v>12000000</v>
      </c>
      <c r="DN63" s="152"/>
      <c r="DO63" s="26">
        <v>1030432040</v>
      </c>
      <c r="DP63" s="26">
        <v>776599252</v>
      </c>
      <c r="DQ63" s="151">
        <f t="shared" si="31"/>
        <v>0.75366372730413156</v>
      </c>
    </row>
    <row r="64" spans="1:121" ht="53.25" hidden="1" customHeight="1" x14ac:dyDescent="0.25">
      <c r="A64" s="199"/>
      <c r="B64" s="189"/>
      <c r="C64" s="30" t="s">
        <v>210</v>
      </c>
      <c r="D64" s="19" t="s">
        <v>211</v>
      </c>
      <c r="E64" s="20">
        <v>520</v>
      </c>
      <c r="F64" s="21" t="s">
        <v>212</v>
      </c>
      <c r="G64" s="22">
        <f t="shared" si="41"/>
        <v>205000000</v>
      </c>
      <c r="H64" s="33"/>
      <c r="I64" s="33"/>
      <c r="J64" s="33"/>
      <c r="K64" s="33"/>
      <c r="L64" s="33"/>
      <c r="M64" s="22"/>
      <c r="N64" s="22"/>
      <c r="O64" s="22"/>
      <c r="P64" s="22"/>
      <c r="Q64" s="22"/>
      <c r="R64" s="22"/>
      <c r="S64" s="22"/>
      <c r="T64" s="22"/>
      <c r="U64" s="22"/>
      <c r="V64" s="22">
        <f>50000000+110000000</f>
        <v>160000000</v>
      </c>
      <c r="W64" s="22"/>
      <c r="X64" s="22"/>
      <c r="Y64" s="22"/>
      <c r="Z64" s="22"/>
      <c r="AA64" s="22">
        <f>44000000+1000000</f>
        <v>45000000</v>
      </c>
      <c r="AB64" s="23">
        <f t="shared" si="1"/>
        <v>0.96002014146341463</v>
      </c>
      <c r="AC64" s="22">
        <f t="shared" si="51"/>
        <v>196804129</v>
      </c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>
        <f>+'[3]JUNIO 2017'!$X$1898</f>
        <v>158593999</v>
      </c>
      <c r="AS64" s="22"/>
      <c r="AT64" s="22"/>
      <c r="AU64" s="22"/>
      <c r="AV64" s="22"/>
      <c r="AW64" s="22">
        <f>+'[5]AGOSTO 2017'!$AC$2911</f>
        <v>38210130</v>
      </c>
      <c r="AX64" s="23">
        <f t="shared" si="3"/>
        <v>3.9979858536585366E-2</v>
      </c>
      <c r="AY64" s="22">
        <f t="shared" si="42"/>
        <v>8195871</v>
      </c>
      <c r="AZ64" s="22">
        <f t="shared" si="49"/>
        <v>0</v>
      </c>
      <c r="BA64" s="22">
        <f t="shared" si="43"/>
        <v>0</v>
      </c>
      <c r="BB64" s="22">
        <f t="shared" si="43"/>
        <v>0</v>
      </c>
      <c r="BC64" s="22">
        <f t="shared" si="43"/>
        <v>0</v>
      </c>
      <c r="BD64" s="22">
        <f t="shared" si="43"/>
        <v>0</v>
      </c>
      <c r="BE64" s="22">
        <f t="shared" si="43"/>
        <v>0</v>
      </c>
      <c r="BF64" s="22">
        <f t="shared" si="43"/>
        <v>0</v>
      </c>
      <c r="BG64" s="22">
        <f t="shared" si="43"/>
        <v>0</v>
      </c>
      <c r="BH64" s="22">
        <f t="shared" si="43"/>
        <v>0</v>
      </c>
      <c r="BI64" s="22">
        <f t="shared" si="43"/>
        <v>0</v>
      </c>
      <c r="BJ64" s="22">
        <f t="shared" si="43"/>
        <v>0</v>
      </c>
      <c r="BK64" s="22">
        <f t="shared" si="43"/>
        <v>0</v>
      </c>
      <c r="BL64" s="22">
        <f t="shared" si="43"/>
        <v>0</v>
      </c>
      <c r="BM64" s="22">
        <f t="shared" si="43"/>
        <v>0</v>
      </c>
      <c r="BN64" s="22">
        <f t="shared" si="43"/>
        <v>1406001</v>
      </c>
      <c r="BO64" s="22">
        <f t="shared" si="43"/>
        <v>0</v>
      </c>
      <c r="BP64" s="22">
        <f t="shared" si="43"/>
        <v>0</v>
      </c>
      <c r="BQ64" s="22">
        <f t="shared" si="44"/>
        <v>0</v>
      </c>
      <c r="BR64" s="22">
        <f t="shared" si="44"/>
        <v>0</v>
      </c>
      <c r="BS64" s="22">
        <f t="shared" si="44"/>
        <v>6789870</v>
      </c>
      <c r="BT64" s="23">
        <f t="shared" si="7"/>
        <v>0.54040107804878046</v>
      </c>
      <c r="BU64" s="22">
        <f t="shared" si="45"/>
        <v>110782221</v>
      </c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>
        <f>+'[5]AGOSTO 2017'!$H$2912+'[5]AGOSTO 2017'!$H$2917+'[5]AGOSTO 2017'!$H$2927+'[5]AGOSTO 2017'!$H$2938+'[5]AGOSTO 2017'!$H$2957+'[5]AGOSTO 2017'!$H$2963+'[5]AGOSTO 2017'!$H$2969+'[5]AGOSTO 2017'!$H$2985+'[5]AGOSTO 2017'!$H$3004+'[5]AGOSTO 2017'!$H$3006+'[5]AGOSTO 2017'!$H$3017+'[5]AGOSTO 2017'!$H$3041+'[5]AGOSTO 2017'!$H$3046</f>
        <v>79031649</v>
      </c>
      <c r="CK64" s="22"/>
      <c r="CL64" s="22"/>
      <c r="CM64" s="22"/>
      <c r="CN64" s="22"/>
      <c r="CO64" s="22">
        <f>+'[5]AGOSTO 2017'!$H$2914+'[5]AGOSTO 2017'!$H$2915+'[5]AGOSTO 2017'!$H$2916+'[5]AGOSTO 2017'!$H$2943+'[5]AGOSTO 2017'!$H$2944+'[5]AGOSTO 2017'!$H$2968+'[5]AGOSTO 2017'!$H$3049+'[5]AGOSTO 2017'!$H$3058+'[5]AGOSTO 2017'!$H$3059+'[5]AGOSTO 2017'!$H$3061+'[5]AGOSTO 2017'!$H$3062+'[5]AGOSTO 2017'!$H$3063+'[5]AGOSTO 2017'!$H$3065+'[5]AGOSTO 2017'!$H$3066+'[5]AGOSTO 2017'!$H$3071+'[5]AGOSTO 2017'!$H$3073+'[5]AGOSTO 2017'!$H$3075+'[5]AGOSTO 2017'!$H$3076</f>
        <v>31750572</v>
      </c>
      <c r="CP64" s="23">
        <f t="shared" si="9"/>
        <v>0.45959892195121954</v>
      </c>
      <c r="CQ64" s="22">
        <f t="shared" si="46"/>
        <v>94217779</v>
      </c>
      <c r="CR64" s="22">
        <f t="shared" si="50"/>
        <v>0</v>
      </c>
      <c r="CS64" s="22">
        <f t="shared" si="47"/>
        <v>0</v>
      </c>
      <c r="CT64" s="22">
        <f t="shared" si="47"/>
        <v>0</v>
      </c>
      <c r="CU64" s="22">
        <f t="shared" si="47"/>
        <v>0</v>
      </c>
      <c r="CV64" s="22">
        <f t="shared" si="47"/>
        <v>0</v>
      </c>
      <c r="CW64" s="22">
        <f t="shared" si="47"/>
        <v>0</v>
      </c>
      <c r="CX64" s="22">
        <f t="shared" si="47"/>
        <v>0</v>
      </c>
      <c r="CY64" s="22">
        <f t="shared" si="47"/>
        <v>0</v>
      </c>
      <c r="CZ64" s="22">
        <f t="shared" si="47"/>
        <v>0</v>
      </c>
      <c r="DA64" s="22">
        <f t="shared" si="47"/>
        <v>0</v>
      </c>
      <c r="DB64" s="22">
        <f t="shared" si="47"/>
        <v>0</v>
      </c>
      <c r="DC64" s="22">
        <f t="shared" si="47"/>
        <v>0</v>
      </c>
      <c r="DD64" s="22">
        <f t="shared" si="47"/>
        <v>0</v>
      </c>
      <c r="DE64" s="22">
        <f t="shared" si="47"/>
        <v>0</v>
      </c>
      <c r="DF64" s="22">
        <f t="shared" si="47"/>
        <v>80968351</v>
      </c>
      <c r="DG64" s="22">
        <f t="shared" si="47"/>
        <v>0</v>
      </c>
      <c r="DH64" s="22">
        <f t="shared" si="47"/>
        <v>0</v>
      </c>
      <c r="DI64" s="22">
        <f t="shared" si="48"/>
        <v>0</v>
      </c>
      <c r="DJ64" s="22">
        <f t="shared" si="48"/>
        <v>0</v>
      </c>
      <c r="DK64" s="22">
        <f t="shared" si="48"/>
        <v>13249428</v>
      </c>
      <c r="DN64" s="152"/>
      <c r="DO64" s="26">
        <v>205000000</v>
      </c>
      <c r="DP64" s="26">
        <v>110782221</v>
      </c>
      <c r="DQ64" s="151">
        <f t="shared" si="31"/>
        <v>0.54040107804878046</v>
      </c>
    </row>
    <row r="65" spans="1:121" ht="34.5" hidden="1" customHeight="1" x14ac:dyDescent="0.25">
      <c r="A65" s="199"/>
      <c r="B65" s="189"/>
      <c r="C65" s="30" t="s">
        <v>213</v>
      </c>
      <c r="D65" s="19" t="s">
        <v>214</v>
      </c>
      <c r="E65" s="20">
        <v>520</v>
      </c>
      <c r="F65" s="21" t="s">
        <v>204</v>
      </c>
      <c r="G65" s="22">
        <f t="shared" si="41"/>
        <v>14500000</v>
      </c>
      <c r="H65" s="33"/>
      <c r="I65" s="33"/>
      <c r="J65" s="33"/>
      <c r="K65" s="33"/>
      <c r="L65" s="33"/>
      <c r="M65" s="22"/>
      <c r="N65" s="22"/>
      <c r="O65" s="22"/>
      <c r="P65" s="22"/>
      <c r="Q65" s="22"/>
      <c r="R65" s="22"/>
      <c r="S65" s="22"/>
      <c r="T65" s="22"/>
      <c r="U65" s="22"/>
      <c r="V65" s="22">
        <v>10000000</v>
      </c>
      <c r="W65" s="22"/>
      <c r="X65" s="22"/>
      <c r="Y65" s="22"/>
      <c r="Z65" s="22"/>
      <c r="AA65" s="22">
        <f>4500000</f>
        <v>4500000</v>
      </c>
      <c r="AB65" s="23">
        <f t="shared" si="1"/>
        <v>0.86202793103448272</v>
      </c>
      <c r="AC65" s="22">
        <f t="shared" si="51"/>
        <v>12499405</v>
      </c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>
        <f>+'[7]FEBRERO 2017'!$X$960</f>
        <v>8000000</v>
      </c>
      <c r="AS65" s="22"/>
      <c r="AT65" s="22"/>
      <c r="AU65" s="22"/>
      <c r="AV65" s="22"/>
      <c r="AW65" s="22">
        <f>+'[5]AGOSTO 2017'!$AC$3081</f>
        <v>4499405</v>
      </c>
      <c r="AX65" s="23">
        <f t="shared" si="3"/>
        <v>0.13797206896551728</v>
      </c>
      <c r="AY65" s="22">
        <f t="shared" si="42"/>
        <v>2000595</v>
      </c>
      <c r="AZ65" s="22">
        <f t="shared" si="49"/>
        <v>0</v>
      </c>
      <c r="BA65" s="22">
        <f t="shared" si="43"/>
        <v>0</v>
      </c>
      <c r="BB65" s="22">
        <f t="shared" si="43"/>
        <v>0</v>
      </c>
      <c r="BC65" s="22">
        <f t="shared" si="43"/>
        <v>0</v>
      </c>
      <c r="BD65" s="22">
        <f t="shared" si="43"/>
        <v>0</v>
      </c>
      <c r="BE65" s="22">
        <f t="shared" si="43"/>
        <v>0</v>
      </c>
      <c r="BF65" s="22">
        <f t="shared" si="43"/>
        <v>0</v>
      </c>
      <c r="BG65" s="22">
        <f t="shared" si="43"/>
        <v>0</v>
      </c>
      <c r="BH65" s="22">
        <f t="shared" si="43"/>
        <v>0</v>
      </c>
      <c r="BI65" s="22">
        <f t="shared" si="43"/>
        <v>0</v>
      </c>
      <c r="BJ65" s="22">
        <f t="shared" si="43"/>
        <v>0</v>
      </c>
      <c r="BK65" s="22">
        <f t="shared" si="43"/>
        <v>0</v>
      </c>
      <c r="BL65" s="22">
        <f t="shared" si="43"/>
        <v>0</v>
      </c>
      <c r="BM65" s="22">
        <f t="shared" si="43"/>
        <v>0</v>
      </c>
      <c r="BN65" s="22">
        <f t="shared" si="43"/>
        <v>2000000</v>
      </c>
      <c r="BO65" s="22">
        <f t="shared" si="43"/>
        <v>0</v>
      </c>
      <c r="BP65" s="22">
        <f t="shared" si="43"/>
        <v>0</v>
      </c>
      <c r="BQ65" s="22">
        <f t="shared" si="44"/>
        <v>0</v>
      </c>
      <c r="BR65" s="22">
        <f t="shared" si="44"/>
        <v>0</v>
      </c>
      <c r="BS65" s="22">
        <f t="shared" si="44"/>
        <v>595</v>
      </c>
      <c r="BT65" s="23">
        <f t="shared" si="7"/>
        <v>0.71199999999999997</v>
      </c>
      <c r="BU65" s="22">
        <f t="shared" si="45"/>
        <v>10324000</v>
      </c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>
        <f>+'[4]MAYO 2017'!$H$1665</f>
        <v>8000000</v>
      </c>
      <c r="CK65" s="22"/>
      <c r="CL65" s="22"/>
      <c r="CM65" s="22"/>
      <c r="CN65" s="22"/>
      <c r="CO65" s="22">
        <f>+'[5]AGOSTO 2017'!$H$3085</f>
        <v>2324000</v>
      </c>
      <c r="CP65" s="23">
        <f t="shared" si="9"/>
        <v>0.28800000000000003</v>
      </c>
      <c r="CQ65" s="22">
        <f t="shared" si="46"/>
        <v>4176000</v>
      </c>
      <c r="CR65" s="22">
        <f t="shared" si="50"/>
        <v>0</v>
      </c>
      <c r="CS65" s="22">
        <f t="shared" si="47"/>
        <v>0</v>
      </c>
      <c r="CT65" s="22">
        <f t="shared" si="47"/>
        <v>0</v>
      </c>
      <c r="CU65" s="22">
        <f t="shared" si="47"/>
        <v>0</v>
      </c>
      <c r="CV65" s="22">
        <f t="shared" si="47"/>
        <v>0</v>
      </c>
      <c r="CW65" s="22">
        <f t="shared" si="47"/>
        <v>0</v>
      </c>
      <c r="CX65" s="22">
        <f t="shared" si="47"/>
        <v>0</v>
      </c>
      <c r="CY65" s="22">
        <f t="shared" si="47"/>
        <v>0</v>
      </c>
      <c r="CZ65" s="22">
        <f t="shared" si="47"/>
        <v>0</v>
      </c>
      <c r="DA65" s="22">
        <f t="shared" si="47"/>
        <v>0</v>
      </c>
      <c r="DB65" s="22">
        <f t="shared" si="47"/>
        <v>0</v>
      </c>
      <c r="DC65" s="22">
        <f t="shared" si="47"/>
        <v>0</v>
      </c>
      <c r="DD65" s="22">
        <f t="shared" si="47"/>
        <v>0</v>
      </c>
      <c r="DE65" s="22">
        <f t="shared" si="47"/>
        <v>0</v>
      </c>
      <c r="DF65" s="22">
        <f t="shared" si="47"/>
        <v>2000000</v>
      </c>
      <c r="DG65" s="22">
        <f t="shared" si="47"/>
        <v>0</v>
      </c>
      <c r="DH65" s="22">
        <f t="shared" si="47"/>
        <v>0</v>
      </c>
      <c r="DI65" s="22">
        <f t="shared" si="48"/>
        <v>0</v>
      </c>
      <c r="DJ65" s="22">
        <f t="shared" si="48"/>
        <v>0</v>
      </c>
      <c r="DK65" s="22">
        <f t="shared" si="48"/>
        <v>2176000</v>
      </c>
      <c r="DN65" s="152"/>
      <c r="DO65" s="26">
        <v>14500000</v>
      </c>
      <c r="DP65" s="26">
        <v>10324000</v>
      </c>
      <c r="DQ65" s="151">
        <f t="shared" si="31"/>
        <v>0.71199999999999997</v>
      </c>
    </row>
    <row r="66" spans="1:121" ht="31.5" hidden="1" customHeight="1" x14ac:dyDescent="0.25">
      <c r="A66" s="199"/>
      <c r="B66" s="189"/>
      <c r="C66" s="30" t="s">
        <v>215</v>
      </c>
      <c r="D66" s="19" t="s">
        <v>216</v>
      </c>
      <c r="E66" s="20">
        <v>520</v>
      </c>
      <c r="F66" s="21" t="s">
        <v>151</v>
      </c>
      <c r="G66" s="22">
        <f t="shared" si="41"/>
        <v>11500000</v>
      </c>
      <c r="H66" s="33"/>
      <c r="I66" s="22">
        <v>10000000</v>
      </c>
      <c r="J66" s="33"/>
      <c r="K66" s="33"/>
      <c r="L66" s="33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>
        <v>1500000</v>
      </c>
      <c r="AB66" s="23">
        <f t="shared" si="1"/>
        <v>0.86956521739130432</v>
      </c>
      <c r="AC66" s="22">
        <f t="shared" si="51"/>
        <v>10000000</v>
      </c>
      <c r="AD66" s="22"/>
      <c r="AE66" s="22">
        <f>+'[5]AGOSTO 2017'!$K$3090</f>
        <v>10000000</v>
      </c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3">
        <f t="shared" si="3"/>
        <v>0.13043478260869568</v>
      </c>
      <c r="AY66" s="22">
        <f t="shared" si="42"/>
        <v>1500000</v>
      </c>
      <c r="AZ66" s="22">
        <f t="shared" si="49"/>
        <v>0</v>
      </c>
      <c r="BA66" s="22">
        <f t="shared" si="43"/>
        <v>0</v>
      </c>
      <c r="BB66" s="22">
        <f t="shared" si="43"/>
        <v>0</v>
      </c>
      <c r="BC66" s="22">
        <f t="shared" si="43"/>
        <v>0</v>
      </c>
      <c r="BD66" s="22">
        <f t="shared" si="43"/>
        <v>0</v>
      </c>
      <c r="BE66" s="22">
        <f t="shared" si="43"/>
        <v>0</v>
      </c>
      <c r="BF66" s="22">
        <f t="shared" si="43"/>
        <v>0</v>
      </c>
      <c r="BG66" s="22">
        <f t="shared" si="43"/>
        <v>0</v>
      </c>
      <c r="BH66" s="22">
        <f t="shared" si="43"/>
        <v>0</v>
      </c>
      <c r="BI66" s="22">
        <f t="shared" si="43"/>
        <v>0</v>
      </c>
      <c r="BJ66" s="22">
        <f t="shared" si="43"/>
        <v>0</v>
      </c>
      <c r="BK66" s="22">
        <f t="shared" si="43"/>
        <v>0</v>
      </c>
      <c r="BL66" s="22">
        <f t="shared" si="43"/>
        <v>0</v>
      </c>
      <c r="BM66" s="22">
        <f t="shared" si="43"/>
        <v>0</v>
      </c>
      <c r="BN66" s="22">
        <f t="shared" si="43"/>
        <v>0</v>
      </c>
      <c r="BO66" s="22">
        <f t="shared" si="43"/>
        <v>0</v>
      </c>
      <c r="BP66" s="22">
        <f t="shared" si="43"/>
        <v>0</v>
      </c>
      <c r="BQ66" s="22">
        <f t="shared" si="44"/>
        <v>0</v>
      </c>
      <c r="BR66" s="22">
        <f t="shared" si="44"/>
        <v>0</v>
      </c>
      <c r="BS66" s="22">
        <f t="shared" si="44"/>
        <v>1500000</v>
      </c>
      <c r="BT66" s="23">
        <f t="shared" si="7"/>
        <v>0.52002460869565215</v>
      </c>
      <c r="BU66" s="22">
        <f t="shared" si="45"/>
        <v>5980283</v>
      </c>
      <c r="BV66" s="22"/>
      <c r="BW66" s="22">
        <f>+'[5]AGOSTO 2017'!$H$3088</f>
        <v>5980283</v>
      </c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3">
        <f t="shared" si="9"/>
        <v>0.47997539130434785</v>
      </c>
      <c r="CQ66" s="22">
        <f t="shared" si="46"/>
        <v>5519717</v>
      </c>
      <c r="CR66" s="22">
        <f t="shared" si="50"/>
        <v>0</v>
      </c>
      <c r="CS66" s="22">
        <f t="shared" si="47"/>
        <v>4019717</v>
      </c>
      <c r="CT66" s="22">
        <f t="shared" si="47"/>
        <v>0</v>
      </c>
      <c r="CU66" s="22">
        <f t="shared" si="47"/>
        <v>0</v>
      </c>
      <c r="CV66" s="22">
        <f t="shared" si="47"/>
        <v>0</v>
      </c>
      <c r="CW66" s="22">
        <f t="shared" si="47"/>
        <v>0</v>
      </c>
      <c r="CX66" s="22">
        <f t="shared" si="47"/>
        <v>0</v>
      </c>
      <c r="CY66" s="22">
        <f t="shared" si="47"/>
        <v>0</v>
      </c>
      <c r="CZ66" s="22">
        <f t="shared" si="47"/>
        <v>0</v>
      </c>
      <c r="DA66" s="22">
        <f t="shared" si="47"/>
        <v>0</v>
      </c>
      <c r="DB66" s="22">
        <f t="shared" si="47"/>
        <v>0</v>
      </c>
      <c r="DC66" s="22">
        <f t="shared" si="47"/>
        <v>0</v>
      </c>
      <c r="DD66" s="22">
        <f t="shared" si="47"/>
        <v>0</v>
      </c>
      <c r="DE66" s="22">
        <f t="shared" si="47"/>
        <v>0</v>
      </c>
      <c r="DF66" s="22">
        <f t="shared" si="47"/>
        <v>0</v>
      </c>
      <c r="DG66" s="22">
        <f t="shared" si="47"/>
        <v>0</v>
      </c>
      <c r="DH66" s="22">
        <f t="shared" si="47"/>
        <v>0</v>
      </c>
      <c r="DI66" s="22">
        <f t="shared" si="48"/>
        <v>0</v>
      </c>
      <c r="DJ66" s="22">
        <f t="shared" si="48"/>
        <v>0</v>
      </c>
      <c r="DK66" s="22">
        <f t="shared" si="48"/>
        <v>1500000</v>
      </c>
      <c r="DN66" s="152"/>
      <c r="DO66" s="26">
        <v>11500000</v>
      </c>
      <c r="DP66" s="26">
        <v>5980283</v>
      </c>
      <c r="DQ66" s="151">
        <f t="shared" si="31"/>
        <v>0.52002460869565215</v>
      </c>
    </row>
    <row r="67" spans="1:121" ht="69" hidden="1" customHeight="1" x14ac:dyDescent="0.25">
      <c r="A67" s="199"/>
      <c r="B67" s="189"/>
      <c r="C67" s="30" t="s">
        <v>217</v>
      </c>
      <c r="D67" s="19" t="s">
        <v>218</v>
      </c>
      <c r="E67" s="20">
        <v>520</v>
      </c>
      <c r="F67" s="21" t="s">
        <v>219</v>
      </c>
      <c r="G67" s="22">
        <f t="shared" si="41"/>
        <v>522163812</v>
      </c>
      <c r="H67" s="33"/>
      <c r="I67" s="33"/>
      <c r="J67" s="33"/>
      <c r="K67" s="33"/>
      <c r="L67" s="33"/>
      <c r="M67" s="22"/>
      <c r="N67" s="22"/>
      <c r="O67" s="22"/>
      <c r="P67" s="22"/>
      <c r="Q67" s="22"/>
      <c r="R67" s="22"/>
      <c r="S67" s="22"/>
      <c r="T67" s="22"/>
      <c r="U67" s="22"/>
      <c r="V67" s="22">
        <v>20084973</v>
      </c>
      <c r="W67" s="22"/>
      <c r="X67" s="22"/>
      <c r="Y67" s="22"/>
      <c r="Z67" s="22"/>
      <c r="AA67" s="22">
        <f>273000000+1000000+30000000+105550536+90528303+2000000</f>
        <v>502078839</v>
      </c>
      <c r="AB67" s="23">
        <f t="shared" si="1"/>
        <v>0.98084667154222471</v>
      </c>
      <c r="AC67" s="22">
        <f t="shared" si="51"/>
        <v>512162637</v>
      </c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>
        <f>+'[8]ABRIL 2017'!$X$1405</f>
        <v>19235162</v>
      </c>
      <c r="AS67" s="22"/>
      <c r="AT67" s="22"/>
      <c r="AU67" s="22"/>
      <c r="AV67" s="22"/>
      <c r="AW67" s="22">
        <f>+'[3]JUNIO 2017'!$AC$2038</f>
        <v>492927475</v>
      </c>
      <c r="AX67" s="23">
        <f t="shared" si="3"/>
        <v>1.9153328457775287E-2</v>
      </c>
      <c r="AY67" s="22">
        <f t="shared" si="42"/>
        <v>10001175</v>
      </c>
      <c r="AZ67" s="22">
        <f t="shared" si="49"/>
        <v>0</v>
      </c>
      <c r="BA67" s="22">
        <f t="shared" si="43"/>
        <v>0</v>
      </c>
      <c r="BB67" s="22">
        <f t="shared" si="43"/>
        <v>0</v>
      </c>
      <c r="BC67" s="22">
        <f t="shared" si="43"/>
        <v>0</v>
      </c>
      <c r="BD67" s="22">
        <f t="shared" si="43"/>
        <v>0</v>
      </c>
      <c r="BE67" s="22">
        <f t="shared" si="43"/>
        <v>0</v>
      </c>
      <c r="BF67" s="22">
        <f t="shared" si="43"/>
        <v>0</v>
      </c>
      <c r="BG67" s="22">
        <f t="shared" si="43"/>
        <v>0</v>
      </c>
      <c r="BH67" s="22">
        <f t="shared" si="43"/>
        <v>0</v>
      </c>
      <c r="BI67" s="22">
        <f t="shared" si="43"/>
        <v>0</v>
      </c>
      <c r="BJ67" s="22">
        <f t="shared" si="43"/>
        <v>0</v>
      </c>
      <c r="BK67" s="22">
        <f t="shared" si="43"/>
        <v>0</v>
      </c>
      <c r="BL67" s="22">
        <f t="shared" si="43"/>
        <v>0</v>
      </c>
      <c r="BM67" s="22">
        <f t="shared" si="43"/>
        <v>0</v>
      </c>
      <c r="BN67" s="22">
        <f t="shared" si="43"/>
        <v>849811</v>
      </c>
      <c r="BO67" s="22">
        <f t="shared" si="43"/>
        <v>0</v>
      </c>
      <c r="BP67" s="22">
        <f t="shared" si="43"/>
        <v>0</v>
      </c>
      <c r="BQ67" s="22">
        <f t="shared" si="44"/>
        <v>0</v>
      </c>
      <c r="BR67" s="22">
        <f t="shared" si="44"/>
        <v>0</v>
      </c>
      <c r="BS67" s="22">
        <f t="shared" si="44"/>
        <v>9151364</v>
      </c>
      <c r="BT67" s="23">
        <f t="shared" si="7"/>
        <v>0.87691570820691034</v>
      </c>
      <c r="BU67" s="22">
        <f t="shared" si="45"/>
        <v>457893649</v>
      </c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>
        <f>+'[5]AGOSTO 2017'!$H$3131+'[5]AGOSTO 2017'!$H$3132+'[5]AGOSTO 2017'!$H$3140</f>
        <v>19235162</v>
      </c>
      <c r="CK67" s="22"/>
      <c r="CL67" s="22"/>
      <c r="CM67" s="22"/>
      <c r="CN67" s="22"/>
      <c r="CO67" s="22">
        <f>+'[5]AGOSTO 2017'!$H$3096-CJ67</f>
        <v>438658487</v>
      </c>
      <c r="CP67" s="23">
        <f t="shared" si="9"/>
        <v>0.12308429179308966</v>
      </c>
      <c r="CQ67" s="22">
        <f t="shared" si="46"/>
        <v>64270163</v>
      </c>
      <c r="CR67" s="22">
        <f t="shared" si="50"/>
        <v>0</v>
      </c>
      <c r="CS67" s="22">
        <f t="shared" si="47"/>
        <v>0</v>
      </c>
      <c r="CT67" s="22">
        <f t="shared" si="47"/>
        <v>0</v>
      </c>
      <c r="CU67" s="22">
        <f t="shared" si="47"/>
        <v>0</v>
      </c>
      <c r="CV67" s="22">
        <f t="shared" si="47"/>
        <v>0</v>
      </c>
      <c r="CW67" s="22">
        <f t="shared" si="47"/>
        <v>0</v>
      </c>
      <c r="CX67" s="22">
        <f t="shared" si="47"/>
        <v>0</v>
      </c>
      <c r="CY67" s="22">
        <f t="shared" si="47"/>
        <v>0</v>
      </c>
      <c r="CZ67" s="22">
        <f t="shared" si="47"/>
        <v>0</v>
      </c>
      <c r="DA67" s="22">
        <f t="shared" si="47"/>
        <v>0</v>
      </c>
      <c r="DB67" s="22">
        <f t="shared" si="47"/>
        <v>0</v>
      </c>
      <c r="DC67" s="22">
        <f t="shared" si="47"/>
        <v>0</v>
      </c>
      <c r="DD67" s="22">
        <f t="shared" si="47"/>
        <v>0</v>
      </c>
      <c r="DE67" s="22">
        <f t="shared" si="47"/>
        <v>0</v>
      </c>
      <c r="DF67" s="22">
        <f t="shared" si="47"/>
        <v>849811</v>
      </c>
      <c r="DG67" s="22">
        <f t="shared" si="47"/>
        <v>0</v>
      </c>
      <c r="DH67" s="22">
        <f t="shared" si="47"/>
        <v>0</v>
      </c>
      <c r="DI67" s="22">
        <f t="shared" si="48"/>
        <v>0</v>
      </c>
      <c r="DJ67" s="22">
        <f t="shared" si="48"/>
        <v>0</v>
      </c>
      <c r="DK67" s="22">
        <f t="shared" si="48"/>
        <v>63420352</v>
      </c>
      <c r="DN67" s="152"/>
      <c r="DO67" s="26">
        <v>522163812</v>
      </c>
      <c r="DP67" s="26">
        <v>457893649</v>
      </c>
      <c r="DQ67" s="151">
        <f t="shared" si="31"/>
        <v>0.87691570820691034</v>
      </c>
    </row>
    <row r="68" spans="1:121" ht="33" hidden="1" customHeight="1" x14ac:dyDescent="0.25">
      <c r="A68" s="198" t="s">
        <v>190</v>
      </c>
      <c r="B68" s="28" t="s">
        <v>220</v>
      </c>
      <c r="C68" s="30" t="s">
        <v>221</v>
      </c>
      <c r="D68" s="19" t="s">
        <v>222</v>
      </c>
      <c r="E68" s="20">
        <v>520</v>
      </c>
      <c r="F68" s="21" t="s">
        <v>107</v>
      </c>
      <c r="G68" s="22">
        <f t="shared" si="41"/>
        <v>30000000</v>
      </c>
      <c r="H68" s="33"/>
      <c r="I68" s="22">
        <v>30000000</v>
      </c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3">
        <f t="shared" si="1"/>
        <v>0.80903099999999994</v>
      </c>
      <c r="AC68" s="22">
        <f t="shared" si="51"/>
        <v>24270930</v>
      </c>
      <c r="AD68" s="22"/>
      <c r="AE68" s="22">
        <f>+'[5]AGOSTO 2017'!$K$3175</f>
        <v>24270930</v>
      </c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3">
        <f t="shared" si="3"/>
        <v>0.19096900000000006</v>
      </c>
      <c r="AY68" s="22">
        <f t="shared" si="42"/>
        <v>5729070</v>
      </c>
      <c r="AZ68" s="22">
        <f t="shared" si="49"/>
        <v>0</v>
      </c>
      <c r="BA68" s="22">
        <f t="shared" si="43"/>
        <v>5729070</v>
      </c>
      <c r="BB68" s="22">
        <f t="shared" si="43"/>
        <v>0</v>
      </c>
      <c r="BC68" s="22">
        <f t="shared" si="43"/>
        <v>0</v>
      </c>
      <c r="BD68" s="22">
        <f t="shared" si="43"/>
        <v>0</v>
      </c>
      <c r="BE68" s="22">
        <f t="shared" si="43"/>
        <v>0</v>
      </c>
      <c r="BF68" s="22">
        <f t="shared" si="43"/>
        <v>0</v>
      </c>
      <c r="BG68" s="22">
        <f t="shared" si="43"/>
        <v>0</v>
      </c>
      <c r="BH68" s="22">
        <f t="shared" si="43"/>
        <v>0</v>
      </c>
      <c r="BI68" s="22">
        <f t="shared" si="43"/>
        <v>0</v>
      </c>
      <c r="BJ68" s="22">
        <f t="shared" si="43"/>
        <v>0</v>
      </c>
      <c r="BK68" s="22">
        <f t="shared" si="43"/>
        <v>0</v>
      </c>
      <c r="BL68" s="22">
        <f t="shared" si="43"/>
        <v>0</v>
      </c>
      <c r="BM68" s="22">
        <f t="shared" si="43"/>
        <v>0</v>
      </c>
      <c r="BN68" s="22">
        <f t="shared" si="43"/>
        <v>0</v>
      </c>
      <c r="BO68" s="22">
        <f t="shared" si="43"/>
        <v>0</v>
      </c>
      <c r="BP68" s="22">
        <f t="shared" si="43"/>
        <v>0</v>
      </c>
      <c r="BQ68" s="22">
        <f t="shared" si="44"/>
        <v>0</v>
      </c>
      <c r="BR68" s="22">
        <f t="shared" si="44"/>
        <v>0</v>
      </c>
      <c r="BS68" s="22">
        <f t="shared" si="44"/>
        <v>0</v>
      </c>
      <c r="BT68" s="23">
        <f t="shared" si="7"/>
        <v>0.438031</v>
      </c>
      <c r="BU68" s="22">
        <f t="shared" si="45"/>
        <v>13140930</v>
      </c>
      <c r="BV68" s="22"/>
      <c r="BW68" s="22">
        <f>+'[5]AGOSTO 2017'!$H$3173</f>
        <v>13140930</v>
      </c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3">
        <f t="shared" ref="CP68:CP114" si="52">1-BT68</f>
        <v>0.56196899999999994</v>
      </c>
      <c r="CQ68" s="22">
        <f t="shared" si="46"/>
        <v>16859070</v>
      </c>
      <c r="CR68" s="22">
        <f t="shared" si="50"/>
        <v>0</v>
      </c>
      <c r="CS68" s="22">
        <f t="shared" si="47"/>
        <v>16859070</v>
      </c>
      <c r="CT68" s="22">
        <f t="shared" si="47"/>
        <v>0</v>
      </c>
      <c r="CU68" s="22">
        <f t="shared" si="47"/>
        <v>0</v>
      </c>
      <c r="CV68" s="22">
        <f t="shared" si="47"/>
        <v>0</v>
      </c>
      <c r="CW68" s="22">
        <f t="shared" si="47"/>
        <v>0</v>
      </c>
      <c r="CX68" s="22">
        <f t="shared" si="47"/>
        <v>0</v>
      </c>
      <c r="CY68" s="22">
        <f t="shared" si="47"/>
        <v>0</v>
      </c>
      <c r="CZ68" s="22">
        <f t="shared" si="47"/>
        <v>0</v>
      </c>
      <c r="DA68" s="22">
        <f t="shared" si="47"/>
        <v>0</v>
      </c>
      <c r="DB68" s="22">
        <f t="shared" si="47"/>
        <v>0</v>
      </c>
      <c r="DC68" s="22">
        <f t="shared" si="47"/>
        <v>0</v>
      </c>
      <c r="DD68" s="22">
        <f t="shared" si="47"/>
        <v>0</v>
      </c>
      <c r="DE68" s="22">
        <f t="shared" si="47"/>
        <v>0</v>
      </c>
      <c r="DF68" s="22">
        <f t="shared" si="47"/>
        <v>0</v>
      </c>
      <c r="DG68" s="22">
        <f t="shared" si="47"/>
        <v>0</v>
      </c>
      <c r="DH68" s="22">
        <f t="shared" si="47"/>
        <v>0</v>
      </c>
      <c r="DI68" s="22">
        <f t="shared" si="48"/>
        <v>0</v>
      </c>
      <c r="DJ68" s="22">
        <f t="shared" si="48"/>
        <v>0</v>
      </c>
      <c r="DK68" s="22">
        <f t="shared" si="48"/>
        <v>0</v>
      </c>
      <c r="DN68" s="152"/>
      <c r="DO68" s="26">
        <v>30000000</v>
      </c>
      <c r="DP68" s="26">
        <v>13140930</v>
      </c>
      <c r="DQ68" s="151">
        <f t="shared" si="31"/>
        <v>0.438031</v>
      </c>
    </row>
    <row r="69" spans="1:121" ht="45" hidden="1" customHeight="1" x14ac:dyDescent="0.25">
      <c r="A69" s="199"/>
      <c r="B69" s="200" t="s">
        <v>223</v>
      </c>
      <c r="C69" s="30" t="s">
        <v>224</v>
      </c>
      <c r="D69" s="19" t="s">
        <v>225</v>
      </c>
      <c r="E69" s="20">
        <v>520</v>
      </c>
      <c r="F69" s="21" t="s">
        <v>107</v>
      </c>
      <c r="G69" s="22">
        <f t="shared" si="41"/>
        <v>10000000</v>
      </c>
      <c r="H69" s="33"/>
      <c r="I69" s="22">
        <v>10000000</v>
      </c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49"/>
      <c r="U69" s="22"/>
      <c r="V69" s="22"/>
      <c r="W69" s="22"/>
      <c r="X69" s="22"/>
      <c r="Y69" s="22"/>
      <c r="Z69" s="22"/>
      <c r="AA69" s="22"/>
      <c r="AB69" s="23">
        <f t="shared" si="1"/>
        <v>0.99305460000000001</v>
      </c>
      <c r="AC69" s="22">
        <f t="shared" si="51"/>
        <v>9930546</v>
      </c>
      <c r="AD69" s="22"/>
      <c r="AE69" s="22">
        <f>+'[8]ABRIL 2017'!$K$1459</f>
        <v>9930546</v>
      </c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3">
        <f t="shared" si="3"/>
        <v>6.9453999999999905E-3</v>
      </c>
      <c r="AY69" s="22">
        <f t="shared" si="42"/>
        <v>69454</v>
      </c>
      <c r="AZ69" s="22">
        <f t="shared" si="49"/>
        <v>0</v>
      </c>
      <c r="BA69" s="22">
        <f t="shared" si="43"/>
        <v>69454</v>
      </c>
      <c r="BB69" s="22">
        <f t="shared" si="43"/>
        <v>0</v>
      </c>
      <c r="BC69" s="22">
        <f t="shared" si="43"/>
        <v>0</v>
      </c>
      <c r="BD69" s="22">
        <f t="shared" si="43"/>
        <v>0</v>
      </c>
      <c r="BE69" s="22">
        <f t="shared" si="43"/>
        <v>0</v>
      </c>
      <c r="BF69" s="22">
        <f t="shared" si="43"/>
        <v>0</v>
      </c>
      <c r="BG69" s="22">
        <f t="shared" si="43"/>
        <v>0</v>
      </c>
      <c r="BH69" s="22">
        <f t="shared" si="43"/>
        <v>0</v>
      </c>
      <c r="BI69" s="22">
        <f t="shared" si="43"/>
        <v>0</v>
      </c>
      <c r="BJ69" s="22">
        <f t="shared" si="43"/>
        <v>0</v>
      </c>
      <c r="BK69" s="22">
        <f t="shared" si="43"/>
        <v>0</v>
      </c>
      <c r="BL69" s="22">
        <f t="shared" si="43"/>
        <v>0</v>
      </c>
      <c r="BM69" s="22">
        <f t="shared" si="43"/>
        <v>0</v>
      </c>
      <c r="BN69" s="22">
        <f t="shared" si="43"/>
        <v>0</v>
      </c>
      <c r="BO69" s="22">
        <f t="shared" si="43"/>
        <v>0</v>
      </c>
      <c r="BP69" s="22">
        <f t="shared" si="43"/>
        <v>0</v>
      </c>
      <c r="BQ69" s="22">
        <f t="shared" si="44"/>
        <v>0</v>
      </c>
      <c r="BR69" s="22">
        <f t="shared" si="44"/>
        <v>0</v>
      </c>
      <c r="BS69" s="22">
        <f t="shared" si="44"/>
        <v>0</v>
      </c>
      <c r="BT69" s="23">
        <f t="shared" si="7"/>
        <v>0.99305460000000001</v>
      </c>
      <c r="BU69" s="22">
        <f t="shared" si="45"/>
        <v>9930546</v>
      </c>
      <c r="BV69" s="22"/>
      <c r="BW69" s="22">
        <f>+'[8]ABRIL 2017'!$H$1457</f>
        <v>9930546</v>
      </c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3">
        <f t="shared" si="52"/>
        <v>6.9453999999999905E-3</v>
      </c>
      <c r="CQ69" s="22">
        <f t="shared" si="46"/>
        <v>69454</v>
      </c>
      <c r="CR69" s="22">
        <f t="shared" si="50"/>
        <v>0</v>
      </c>
      <c r="CS69" s="22">
        <f t="shared" si="47"/>
        <v>69454</v>
      </c>
      <c r="CT69" s="22">
        <f t="shared" si="47"/>
        <v>0</v>
      </c>
      <c r="CU69" s="22">
        <f t="shared" si="47"/>
        <v>0</v>
      </c>
      <c r="CV69" s="22">
        <f t="shared" si="47"/>
        <v>0</v>
      </c>
      <c r="CW69" s="22">
        <f t="shared" si="47"/>
        <v>0</v>
      </c>
      <c r="CX69" s="22">
        <f t="shared" si="47"/>
        <v>0</v>
      </c>
      <c r="CY69" s="22">
        <f t="shared" si="47"/>
        <v>0</v>
      </c>
      <c r="CZ69" s="22">
        <f t="shared" si="47"/>
        <v>0</v>
      </c>
      <c r="DA69" s="22">
        <f t="shared" si="47"/>
        <v>0</v>
      </c>
      <c r="DB69" s="22">
        <f t="shared" si="47"/>
        <v>0</v>
      </c>
      <c r="DC69" s="22">
        <f t="shared" si="47"/>
        <v>0</v>
      </c>
      <c r="DD69" s="22">
        <f t="shared" si="47"/>
        <v>0</v>
      </c>
      <c r="DE69" s="22">
        <f t="shared" si="47"/>
        <v>0</v>
      </c>
      <c r="DF69" s="22">
        <f t="shared" si="47"/>
        <v>0</v>
      </c>
      <c r="DG69" s="22">
        <f t="shared" si="47"/>
        <v>0</v>
      </c>
      <c r="DH69" s="22">
        <f t="shared" si="47"/>
        <v>0</v>
      </c>
      <c r="DI69" s="22">
        <f t="shared" si="48"/>
        <v>0</v>
      </c>
      <c r="DJ69" s="22">
        <f t="shared" si="48"/>
        <v>0</v>
      </c>
      <c r="DK69" s="22">
        <f t="shared" si="48"/>
        <v>0</v>
      </c>
      <c r="DN69" s="152"/>
      <c r="DO69" s="26">
        <v>10000000</v>
      </c>
      <c r="DP69" s="26">
        <v>9930546</v>
      </c>
      <c r="DQ69" s="151">
        <f t="shared" si="31"/>
        <v>0.99305460000000001</v>
      </c>
    </row>
    <row r="70" spans="1:121" ht="34.5" hidden="1" customHeight="1" x14ac:dyDescent="0.25">
      <c r="A70" s="199"/>
      <c r="B70" s="201"/>
      <c r="C70" s="30" t="s">
        <v>226</v>
      </c>
      <c r="D70" s="19" t="s">
        <v>227</v>
      </c>
      <c r="E70" s="20">
        <v>520</v>
      </c>
      <c r="F70" s="21" t="s">
        <v>107</v>
      </c>
      <c r="G70" s="22">
        <f t="shared" si="41"/>
        <v>10000000</v>
      </c>
      <c r="H70" s="33"/>
      <c r="I70" s="22">
        <v>10000000</v>
      </c>
      <c r="J70" s="33"/>
      <c r="K70" s="33"/>
      <c r="L70" s="22"/>
      <c r="M70" s="33"/>
      <c r="N70" s="33"/>
      <c r="O70" s="33"/>
      <c r="P70" s="33"/>
      <c r="Q70" s="33"/>
      <c r="R70" s="25"/>
      <c r="S70" s="33"/>
      <c r="T70" s="49"/>
      <c r="U70" s="33"/>
      <c r="V70" s="33"/>
      <c r="W70" s="33"/>
      <c r="X70" s="33"/>
      <c r="Y70" s="33"/>
      <c r="Z70" s="33"/>
      <c r="AA70" s="65"/>
      <c r="AB70" s="23">
        <f t="shared" si="1"/>
        <v>1</v>
      </c>
      <c r="AC70" s="22">
        <f t="shared" si="51"/>
        <v>10000000</v>
      </c>
      <c r="AD70" s="22"/>
      <c r="AE70" s="22">
        <f>+'[3]JUNIO 2017'!$K$2109</f>
        <v>10000000</v>
      </c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3">
        <f t="shared" si="3"/>
        <v>0</v>
      </c>
      <c r="AY70" s="22">
        <f t="shared" si="42"/>
        <v>0</v>
      </c>
      <c r="AZ70" s="22">
        <f t="shared" si="49"/>
        <v>0</v>
      </c>
      <c r="BA70" s="22">
        <f t="shared" si="43"/>
        <v>0</v>
      </c>
      <c r="BB70" s="22">
        <f t="shared" si="43"/>
        <v>0</v>
      </c>
      <c r="BC70" s="22">
        <f t="shared" si="43"/>
        <v>0</v>
      </c>
      <c r="BD70" s="22">
        <f t="shared" si="43"/>
        <v>0</v>
      </c>
      <c r="BE70" s="22">
        <f t="shared" si="43"/>
        <v>0</v>
      </c>
      <c r="BF70" s="22">
        <f t="shared" si="43"/>
        <v>0</v>
      </c>
      <c r="BG70" s="22">
        <f t="shared" si="43"/>
        <v>0</v>
      </c>
      <c r="BH70" s="22">
        <f t="shared" si="43"/>
        <v>0</v>
      </c>
      <c r="BI70" s="22">
        <f t="shared" si="43"/>
        <v>0</v>
      </c>
      <c r="BJ70" s="22">
        <f t="shared" si="43"/>
        <v>0</v>
      </c>
      <c r="BK70" s="22">
        <f t="shared" si="43"/>
        <v>0</v>
      </c>
      <c r="BL70" s="22">
        <f t="shared" si="43"/>
        <v>0</v>
      </c>
      <c r="BM70" s="22">
        <f t="shared" si="43"/>
        <v>0</v>
      </c>
      <c r="BN70" s="22">
        <f t="shared" si="43"/>
        <v>0</v>
      </c>
      <c r="BO70" s="22">
        <f t="shared" si="43"/>
        <v>0</v>
      </c>
      <c r="BP70" s="22">
        <f t="shared" si="43"/>
        <v>0</v>
      </c>
      <c r="BQ70" s="22">
        <f t="shared" si="44"/>
        <v>0</v>
      </c>
      <c r="BR70" s="22">
        <f t="shared" si="44"/>
        <v>0</v>
      </c>
      <c r="BS70" s="22">
        <f t="shared" si="44"/>
        <v>0</v>
      </c>
      <c r="BT70" s="23">
        <f t="shared" si="7"/>
        <v>1</v>
      </c>
      <c r="BU70" s="22">
        <f t="shared" si="45"/>
        <v>10000000</v>
      </c>
      <c r="BV70" s="22"/>
      <c r="BW70" s="22">
        <f>+'[5]AGOSTO 2017'!$K$3196</f>
        <v>10000000</v>
      </c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3">
        <f t="shared" si="52"/>
        <v>0</v>
      </c>
      <c r="CQ70" s="22">
        <f t="shared" si="46"/>
        <v>0</v>
      </c>
      <c r="CR70" s="22">
        <f t="shared" si="50"/>
        <v>0</v>
      </c>
      <c r="CS70" s="22">
        <f t="shared" si="47"/>
        <v>0</v>
      </c>
      <c r="CT70" s="22">
        <f t="shared" si="47"/>
        <v>0</v>
      </c>
      <c r="CU70" s="22">
        <f t="shared" si="47"/>
        <v>0</v>
      </c>
      <c r="CV70" s="22">
        <f t="shared" si="47"/>
        <v>0</v>
      </c>
      <c r="CW70" s="22">
        <f t="shared" si="47"/>
        <v>0</v>
      </c>
      <c r="CX70" s="22">
        <f t="shared" si="47"/>
        <v>0</v>
      </c>
      <c r="CY70" s="22">
        <f t="shared" si="47"/>
        <v>0</v>
      </c>
      <c r="CZ70" s="22">
        <f t="shared" si="47"/>
        <v>0</v>
      </c>
      <c r="DA70" s="22">
        <f t="shared" si="47"/>
        <v>0</v>
      </c>
      <c r="DB70" s="22">
        <f t="shared" si="47"/>
        <v>0</v>
      </c>
      <c r="DC70" s="22">
        <f t="shared" si="47"/>
        <v>0</v>
      </c>
      <c r="DD70" s="22">
        <f t="shared" si="47"/>
        <v>0</v>
      </c>
      <c r="DE70" s="22">
        <f t="shared" si="47"/>
        <v>0</v>
      </c>
      <c r="DF70" s="22">
        <f t="shared" si="47"/>
        <v>0</v>
      </c>
      <c r="DG70" s="22">
        <f t="shared" si="47"/>
        <v>0</v>
      </c>
      <c r="DH70" s="22">
        <f t="shared" si="47"/>
        <v>0</v>
      </c>
      <c r="DI70" s="22">
        <f t="shared" si="48"/>
        <v>0</v>
      </c>
      <c r="DJ70" s="22">
        <f t="shared" si="48"/>
        <v>0</v>
      </c>
      <c r="DK70" s="22">
        <f t="shared" si="48"/>
        <v>0</v>
      </c>
      <c r="DN70" s="152"/>
      <c r="DO70" s="26">
        <v>10000000</v>
      </c>
      <c r="DP70" s="26">
        <v>10000000</v>
      </c>
      <c r="DQ70" s="151">
        <f t="shared" si="31"/>
        <v>1</v>
      </c>
    </row>
    <row r="71" spans="1:121" ht="34.5" hidden="1" customHeight="1" x14ac:dyDescent="0.25">
      <c r="A71" s="199"/>
      <c r="B71" s="202"/>
      <c r="C71" s="30" t="s">
        <v>228</v>
      </c>
      <c r="D71" s="66" t="s">
        <v>229</v>
      </c>
      <c r="E71" s="20">
        <v>520</v>
      </c>
      <c r="F71" s="67" t="s">
        <v>151</v>
      </c>
      <c r="G71" s="22">
        <f t="shared" si="41"/>
        <v>4826876</v>
      </c>
      <c r="H71" s="33"/>
      <c r="I71" s="22"/>
      <c r="J71" s="33"/>
      <c r="K71" s="50"/>
      <c r="L71" s="49"/>
      <c r="M71" s="33"/>
      <c r="N71" s="33"/>
      <c r="O71" s="33"/>
      <c r="P71" s="33"/>
      <c r="Q71" s="33"/>
      <c r="R71" s="25"/>
      <c r="S71" s="33"/>
      <c r="T71" s="49"/>
      <c r="U71" s="33"/>
      <c r="V71" s="33"/>
      <c r="W71" s="33"/>
      <c r="X71" s="33"/>
      <c r="Y71" s="33"/>
      <c r="Z71" s="33"/>
      <c r="AA71" s="22">
        <v>4826876</v>
      </c>
      <c r="AB71" s="23">
        <f t="shared" si="1"/>
        <v>0</v>
      </c>
      <c r="AC71" s="22">
        <f t="shared" ref="AC71" si="53">SUM(AD71:AW71)</f>
        <v>0</v>
      </c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3">
        <f t="shared" si="3"/>
        <v>1</v>
      </c>
      <c r="AY71" s="22">
        <f t="shared" ref="AY71" si="54">SUM(AZ71:BS71)</f>
        <v>4826876</v>
      </c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>
        <f t="shared" si="44"/>
        <v>4826876</v>
      </c>
      <c r="BT71" s="23">
        <f t="shared" si="7"/>
        <v>0</v>
      </c>
      <c r="BU71" s="22">
        <f t="shared" ref="BU71" si="55">SUM(BV71:CO71)</f>
        <v>0</v>
      </c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3">
        <f t="shared" si="52"/>
        <v>1</v>
      </c>
      <c r="CQ71" s="22">
        <f t="shared" ref="CQ71" si="56">SUM(CR71:DK71)</f>
        <v>4826876</v>
      </c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>
        <f t="shared" si="48"/>
        <v>4826876</v>
      </c>
      <c r="DN71" s="152"/>
      <c r="DO71" s="26">
        <v>4826876</v>
      </c>
      <c r="DP71" s="26">
        <v>0</v>
      </c>
      <c r="DQ71" s="151">
        <f t="shared" si="31"/>
        <v>0</v>
      </c>
    </row>
    <row r="72" spans="1:121" ht="49.5" hidden="1" customHeight="1" x14ac:dyDescent="0.25">
      <c r="A72" s="199"/>
      <c r="B72" s="68" t="s">
        <v>230</v>
      </c>
      <c r="C72" s="30" t="s">
        <v>231</v>
      </c>
      <c r="D72" s="69" t="s">
        <v>232</v>
      </c>
      <c r="E72" s="20">
        <v>520</v>
      </c>
      <c r="F72" s="67" t="s">
        <v>107</v>
      </c>
      <c r="G72" s="22">
        <f t="shared" si="41"/>
        <v>60000000</v>
      </c>
      <c r="H72" s="33"/>
      <c r="I72" s="22">
        <v>20000000</v>
      </c>
      <c r="J72" s="33"/>
      <c r="K72" s="50"/>
      <c r="L72" s="49"/>
      <c r="M72" s="33"/>
      <c r="N72" s="33"/>
      <c r="O72" s="33"/>
      <c r="P72" s="33"/>
      <c r="Q72" s="33"/>
      <c r="R72" s="25"/>
      <c r="S72" s="33"/>
      <c r="T72" s="49"/>
      <c r="U72" s="22">
        <v>40000000</v>
      </c>
      <c r="V72" s="33"/>
      <c r="W72" s="33"/>
      <c r="X72" s="33"/>
      <c r="Y72" s="33"/>
      <c r="Z72" s="33"/>
      <c r="AA72" s="65"/>
      <c r="AB72" s="23">
        <f t="shared" si="1"/>
        <v>0.99988501666666663</v>
      </c>
      <c r="AC72" s="22">
        <f t="shared" si="51"/>
        <v>59993101</v>
      </c>
      <c r="AD72" s="22"/>
      <c r="AE72" s="22">
        <f>+'[1]ENERO 2017'!$K$823</f>
        <v>19993101</v>
      </c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>
        <f>+'[6]JULIO 2017'!$W$2818</f>
        <v>40000000</v>
      </c>
      <c r="AR72" s="22"/>
      <c r="AS72" s="22"/>
      <c r="AT72" s="22"/>
      <c r="AU72" s="22"/>
      <c r="AV72" s="22"/>
      <c r="AW72" s="22"/>
      <c r="AX72" s="23">
        <f t="shared" si="3"/>
        <v>1.1498333333337385E-4</v>
      </c>
      <c r="AY72" s="22">
        <f t="shared" si="42"/>
        <v>6899</v>
      </c>
      <c r="AZ72" s="22">
        <f t="shared" si="49"/>
        <v>0</v>
      </c>
      <c r="BA72" s="22">
        <f t="shared" si="43"/>
        <v>6899</v>
      </c>
      <c r="BB72" s="22">
        <f t="shared" si="43"/>
        <v>0</v>
      </c>
      <c r="BC72" s="22">
        <f t="shared" si="43"/>
        <v>0</v>
      </c>
      <c r="BD72" s="22">
        <f t="shared" si="43"/>
        <v>0</v>
      </c>
      <c r="BE72" s="22">
        <f t="shared" si="43"/>
        <v>0</v>
      </c>
      <c r="BF72" s="22">
        <f t="shared" si="43"/>
        <v>0</v>
      </c>
      <c r="BG72" s="22">
        <f t="shared" si="43"/>
        <v>0</v>
      </c>
      <c r="BH72" s="22">
        <f t="shared" si="43"/>
        <v>0</v>
      </c>
      <c r="BI72" s="22">
        <f t="shared" si="43"/>
        <v>0</v>
      </c>
      <c r="BJ72" s="22">
        <f t="shared" si="43"/>
        <v>0</v>
      </c>
      <c r="BK72" s="22">
        <f t="shared" si="43"/>
        <v>0</v>
      </c>
      <c r="BL72" s="22">
        <f t="shared" si="43"/>
        <v>0</v>
      </c>
      <c r="BM72" s="22">
        <f t="shared" si="43"/>
        <v>0</v>
      </c>
      <c r="BN72" s="22">
        <f t="shared" si="43"/>
        <v>0</v>
      </c>
      <c r="BO72" s="22">
        <f t="shared" si="43"/>
        <v>0</v>
      </c>
      <c r="BP72" s="22">
        <f t="shared" si="43"/>
        <v>0</v>
      </c>
      <c r="BQ72" s="22">
        <f t="shared" si="44"/>
        <v>0</v>
      </c>
      <c r="BR72" s="22">
        <f t="shared" si="44"/>
        <v>0</v>
      </c>
      <c r="BS72" s="22">
        <f t="shared" si="44"/>
        <v>0</v>
      </c>
      <c r="BT72" s="23">
        <f t="shared" si="7"/>
        <v>0.65571835000000001</v>
      </c>
      <c r="BU72" s="22">
        <f t="shared" si="45"/>
        <v>39343101</v>
      </c>
      <c r="BV72" s="22"/>
      <c r="BW72" s="22">
        <f>+'[7]FEBRERO 2017'!$H$1030</f>
        <v>19993101</v>
      </c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>
        <f>+'[5]AGOSTO 2017'!$H$3209-'[5]AGOSTO 2017'!$H$3212</f>
        <v>19350000</v>
      </c>
      <c r="CJ72" s="22"/>
      <c r="CK72" s="22"/>
      <c r="CL72" s="22"/>
      <c r="CM72" s="22"/>
      <c r="CN72" s="22"/>
      <c r="CO72" s="22"/>
      <c r="CP72" s="23">
        <f t="shared" si="52"/>
        <v>0.34428164999999999</v>
      </c>
      <c r="CQ72" s="22">
        <f t="shared" si="46"/>
        <v>20656899</v>
      </c>
      <c r="CR72" s="22">
        <f t="shared" si="50"/>
        <v>0</v>
      </c>
      <c r="CS72" s="22">
        <f t="shared" si="47"/>
        <v>6899</v>
      </c>
      <c r="CT72" s="22">
        <f t="shared" si="47"/>
        <v>0</v>
      </c>
      <c r="CU72" s="22">
        <f t="shared" si="47"/>
        <v>0</v>
      </c>
      <c r="CV72" s="22">
        <f t="shared" si="47"/>
        <v>0</v>
      </c>
      <c r="CW72" s="22">
        <f t="shared" si="47"/>
        <v>0</v>
      </c>
      <c r="CX72" s="22">
        <f t="shared" si="47"/>
        <v>0</v>
      </c>
      <c r="CY72" s="22">
        <f t="shared" si="47"/>
        <v>0</v>
      </c>
      <c r="CZ72" s="22">
        <f t="shared" si="47"/>
        <v>0</v>
      </c>
      <c r="DA72" s="22">
        <f t="shared" si="47"/>
        <v>0</v>
      </c>
      <c r="DB72" s="22">
        <f t="shared" si="47"/>
        <v>0</v>
      </c>
      <c r="DC72" s="22">
        <f t="shared" si="47"/>
        <v>0</v>
      </c>
      <c r="DD72" s="22">
        <f t="shared" si="47"/>
        <v>0</v>
      </c>
      <c r="DE72" s="22">
        <f t="shared" si="47"/>
        <v>20650000</v>
      </c>
      <c r="DF72" s="22">
        <f t="shared" si="47"/>
        <v>0</v>
      </c>
      <c r="DG72" s="22">
        <f t="shared" si="47"/>
        <v>0</v>
      </c>
      <c r="DH72" s="22">
        <f t="shared" si="47"/>
        <v>0</v>
      </c>
      <c r="DI72" s="22">
        <f t="shared" si="48"/>
        <v>0</v>
      </c>
      <c r="DJ72" s="22">
        <f t="shared" si="48"/>
        <v>0</v>
      </c>
      <c r="DK72" s="22">
        <f t="shared" si="48"/>
        <v>0</v>
      </c>
      <c r="DN72" s="152"/>
      <c r="DO72" s="26">
        <v>60000000</v>
      </c>
      <c r="DP72" s="26">
        <v>39343101</v>
      </c>
      <c r="DQ72" s="151">
        <f t="shared" si="31"/>
        <v>0.65571835000000001</v>
      </c>
    </row>
    <row r="73" spans="1:121" s="73" customFormat="1" ht="40.5" hidden="1" customHeight="1" x14ac:dyDescent="0.25">
      <c r="A73" s="199" t="s">
        <v>190</v>
      </c>
      <c r="B73" s="191" t="s">
        <v>233</v>
      </c>
      <c r="C73" s="70" t="s">
        <v>234</v>
      </c>
      <c r="D73" s="19" t="s">
        <v>235</v>
      </c>
      <c r="E73" s="28">
        <v>520</v>
      </c>
      <c r="F73" s="67" t="s">
        <v>107</v>
      </c>
      <c r="G73" s="22">
        <f t="shared" si="41"/>
        <v>5000000</v>
      </c>
      <c r="H73" s="25"/>
      <c r="I73" s="22">
        <v>5000000</v>
      </c>
      <c r="J73" s="25"/>
      <c r="K73" s="25"/>
      <c r="L73" s="71"/>
      <c r="M73" s="25"/>
      <c r="N73" s="25"/>
      <c r="O73" s="25"/>
      <c r="P73" s="25"/>
      <c r="Q73" s="25"/>
      <c r="R73" s="25"/>
      <c r="S73" s="25"/>
      <c r="T73" s="49"/>
      <c r="U73" s="22"/>
      <c r="V73" s="22"/>
      <c r="W73" s="22"/>
      <c r="X73" s="22"/>
      <c r="Y73" s="22"/>
      <c r="Z73" s="22"/>
      <c r="AA73" s="22"/>
      <c r="AB73" s="72">
        <f t="shared" si="1"/>
        <v>1</v>
      </c>
      <c r="AC73" s="22">
        <f t="shared" si="51"/>
        <v>5000000</v>
      </c>
      <c r="AD73" s="71"/>
      <c r="AE73" s="71">
        <f>+'[8]ABRIL 2017'!$K$1487</f>
        <v>5000000</v>
      </c>
      <c r="AF73" s="71"/>
      <c r="AG73" s="71"/>
      <c r="AH73" s="22"/>
      <c r="AI73" s="71"/>
      <c r="AJ73" s="71"/>
      <c r="AK73" s="71"/>
      <c r="AL73" s="71"/>
      <c r="AM73" s="71"/>
      <c r="AN73" s="71"/>
      <c r="AO73" s="71"/>
      <c r="AP73" s="71"/>
      <c r="AQ73" s="71"/>
      <c r="AR73" s="71"/>
      <c r="AS73" s="71"/>
      <c r="AT73" s="71"/>
      <c r="AU73" s="71"/>
      <c r="AV73" s="71"/>
      <c r="AW73" s="71"/>
      <c r="AX73" s="72">
        <f t="shared" si="3"/>
        <v>0</v>
      </c>
      <c r="AY73" s="22">
        <f t="shared" si="42"/>
        <v>0</v>
      </c>
      <c r="AZ73" s="22">
        <f t="shared" si="49"/>
        <v>0</v>
      </c>
      <c r="BA73" s="22">
        <f t="shared" si="43"/>
        <v>0</v>
      </c>
      <c r="BB73" s="22">
        <f t="shared" si="43"/>
        <v>0</v>
      </c>
      <c r="BC73" s="22">
        <f t="shared" si="43"/>
        <v>0</v>
      </c>
      <c r="BD73" s="22">
        <f t="shared" si="43"/>
        <v>0</v>
      </c>
      <c r="BE73" s="22">
        <f t="shared" si="43"/>
        <v>0</v>
      </c>
      <c r="BF73" s="22">
        <f t="shared" si="43"/>
        <v>0</v>
      </c>
      <c r="BG73" s="22">
        <f t="shared" si="43"/>
        <v>0</v>
      </c>
      <c r="BH73" s="22">
        <f t="shared" si="43"/>
        <v>0</v>
      </c>
      <c r="BI73" s="22">
        <f t="shared" si="43"/>
        <v>0</v>
      </c>
      <c r="BJ73" s="22">
        <f t="shared" si="43"/>
        <v>0</v>
      </c>
      <c r="BK73" s="22">
        <f t="shared" si="43"/>
        <v>0</v>
      </c>
      <c r="BL73" s="22">
        <f t="shared" si="43"/>
        <v>0</v>
      </c>
      <c r="BM73" s="22">
        <f t="shared" si="43"/>
        <v>0</v>
      </c>
      <c r="BN73" s="22">
        <f t="shared" si="43"/>
        <v>0</v>
      </c>
      <c r="BO73" s="22">
        <f t="shared" si="43"/>
        <v>0</v>
      </c>
      <c r="BP73" s="22">
        <f t="shared" si="43"/>
        <v>0</v>
      </c>
      <c r="BQ73" s="22">
        <f t="shared" si="44"/>
        <v>0</v>
      </c>
      <c r="BR73" s="22">
        <f t="shared" si="44"/>
        <v>0</v>
      </c>
      <c r="BS73" s="22">
        <f t="shared" si="44"/>
        <v>0</v>
      </c>
      <c r="BT73" s="72">
        <f t="shared" si="7"/>
        <v>0</v>
      </c>
      <c r="BU73" s="22">
        <f t="shared" si="45"/>
        <v>0</v>
      </c>
      <c r="BV73" s="71"/>
      <c r="BW73" s="71"/>
      <c r="BX73" s="71"/>
      <c r="BY73" s="71"/>
      <c r="BZ73" s="71"/>
      <c r="CA73" s="71"/>
      <c r="CB73" s="71"/>
      <c r="CC73" s="71"/>
      <c r="CD73" s="71"/>
      <c r="CE73" s="71"/>
      <c r="CF73" s="71"/>
      <c r="CG73" s="71"/>
      <c r="CH73" s="71"/>
      <c r="CI73" s="71"/>
      <c r="CJ73" s="71"/>
      <c r="CK73" s="71"/>
      <c r="CL73" s="71"/>
      <c r="CM73" s="71"/>
      <c r="CN73" s="71"/>
      <c r="CO73" s="71"/>
      <c r="CP73" s="72">
        <f t="shared" si="52"/>
        <v>1</v>
      </c>
      <c r="CQ73" s="22">
        <f t="shared" si="46"/>
        <v>5000000</v>
      </c>
      <c r="CR73" s="22">
        <f t="shared" si="50"/>
        <v>0</v>
      </c>
      <c r="CS73" s="22">
        <f t="shared" si="47"/>
        <v>5000000</v>
      </c>
      <c r="CT73" s="22">
        <f t="shared" si="47"/>
        <v>0</v>
      </c>
      <c r="CU73" s="22">
        <f t="shared" si="47"/>
        <v>0</v>
      </c>
      <c r="CV73" s="22">
        <f t="shared" si="47"/>
        <v>0</v>
      </c>
      <c r="CW73" s="22">
        <f t="shared" si="47"/>
        <v>0</v>
      </c>
      <c r="CX73" s="22">
        <f t="shared" si="47"/>
        <v>0</v>
      </c>
      <c r="CY73" s="22">
        <f t="shared" si="47"/>
        <v>0</v>
      </c>
      <c r="CZ73" s="22">
        <f t="shared" si="47"/>
        <v>0</v>
      </c>
      <c r="DA73" s="22">
        <f t="shared" si="47"/>
        <v>0</v>
      </c>
      <c r="DB73" s="22">
        <f t="shared" si="47"/>
        <v>0</v>
      </c>
      <c r="DC73" s="22">
        <f t="shared" si="47"/>
        <v>0</v>
      </c>
      <c r="DD73" s="22">
        <f t="shared" si="47"/>
        <v>0</v>
      </c>
      <c r="DE73" s="22">
        <f t="shared" si="47"/>
        <v>0</v>
      </c>
      <c r="DF73" s="22">
        <f t="shared" si="47"/>
        <v>0</v>
      </c>
      <c r="DG73" s="22">
        <f t="shared" si="47"/>
        <v>0</v>
      </c>
      <c r="DH73" s="22">
        <f t="shared" si="47"/>
        <v>0</v>
      </c>
      <c r="DI73" s="22">
        <f t="shared" si="48"/>
        <v>0</v>
      </c>
      <c r="DJ73" s="22">
        <f t="shared" si="48"/>
        <v>0</v>
      </c>
      <c r="DK73" s="22">
        <f t="shared" si="48"/>
        <v>0</v>
      </c>
      <c r="DN73" s="153"/>
      <c r="DO73" s="26">
        <v>5000000</v>
      </c>
      <c r="DP73" s="26">
        <v>0</v>
      </c>
      <c r="DQ73" s="151">
        <f t="shared" si="31"/>
        <v>0</v>
      </c>
    </row>
    <row r="74" spans="1:121" s="73" customFormat="1" ht="53.25" hidden="1" customHeight="1" x14ac:dyDescent="0.25">
      <c r="A74" s="199"/>
      <c r="B74" s="190"/>
      <c r="C74" s="70" t="s">
        <v>236</v>
      </c>
      <c r="D74" s="19" t="s">
        <v>237</v>
      </c>
      <c r="E74" s="28">
        <v>520</v>
      </c>
      <c r="F74" s="67" t="s">
        <v>107</v>
      </c>
      <c r="G74" s="22">
        <f t="shared" si="41"/>
        <v>5000000</v>
      </c>
      <c r="H74" s="25"/>
      <c r="I74" s="22">
        <v>5000000</v>
      </c>
      <c r="J74" s="25"/>
      <c r="K74" s="51"/>
      <c r="L74" s="74"/>
      <c r="M74" s="25"/>
      <c r="N74" s="25"/>
      <c r="O74" s="25"/>
      <c r="P74" s="25"/>
      <c r="Q74" s="25"/>
      <c r="R74" s="25"/>
      <c r="S74" s="25"/>
      <c r="T74" s="49"/>
      <c r="U74" s="22"/>
      <c r="V74" s="22"/>
      <c r="W74" s="22"/>
      <c r="X74" s="22"/>
      <c r="Y74" s="22"/>
      <c r="Z74" s="22"/>
      <c r="AA74" s="22"/>
      <c r="AB74" s="72">
        <f t="shared" ref="AB74:AB114" si="57">+AC74/G74</f>
        <v>0</v>
      </c>
      <c r="AC74" s="22">
        <f t="shared" si="51"/>
        <v>0</v>
      </c>
      <c r="AD74" s="71"/>
      <c r="AE74" s="71"/>
      <c r="AF74" s="71"/>
      <c r="AG74" s="71"/>
      <c r="AH74" s="71"/>
      <c r="AI74" s="71"/>
      <c r="AJ74" s="71"/>
      <c r="AK74" s="71"/>
      <c r="AL74" s="71"/>
      <c r="AM74" s="71"/>
      <c r="AN74" s="71"/>
      <c r="AO74" s="71"/>
      <c r="AP74" s="71"/>
      <c r="AQ74" s="71"/>
      <c r="AR74" s="71"/>
      <c r="AS74" s="71"/>
      <c r="AT74" s="71"/>
      <c r="AU74" s="71"/>
      <c r="AV74" s="71"/>
      <c r="AW74" s="71"/>
      <c r="AX74" s="72">
        <f t="shared" ref="AX74:AX114" si="58">1-AB74</f>
        <v>1</v>
      </c>
      <c r="AY74" s="22">
        <f t="shared" si="42"/>
        <v>5000000</v>
      </c>
      <c r="AZ74" s="22">
        <f t="shared" si="49"/>
        <v>0</v>
      </c>
      <c r="BA74" s="22">
        <f t="shared" si="43"/>
        <v>5000000</v>
      </c>
      <c r="BB74" s="22">
        <f t="shared" si="43"/>
        <v>0</v>
      </c>
      <c r="BC74" s="22">
        <f t="shared" si="43"/>
        <v>0</v>
      </c>
      <c r="BD74" s="22">
        <f t="shared" si="43"/>
        <v>0</v>
      </c>
      <c r="BE74" s="22">
        <f t="shared" si="43"/>
        <v>0</v>
      </c>
      <c r="BF74" s="22">
        <f t="shared" si="43"/>
        <v>0</v>
      </c>
      <c r="BG74" s="22">
        <f t="shared" si="43"/>
        <v>0</v>
      </c>
      <c r="BH74" s="22">
        <f t="shared" si="43"/>
        <v>0</v>
      </c>
      <c r="BI74" s="22">
        <f t="shared" si="43"/>
        <v>0</v>
      </c>
      <c r="BJ74" s="22">
        <f t="shared" si="43"/>
        <v>0</v>
      </c>
      <c r="BK74" s="22">
        <f t="shared" si="43"/>
        <v>0</v>
      </c>
      <c r="BL74" s="22">
        <f t="shared" si="43"/>
        <v>0</v>
      </c>
      <c r="BM74" s="22">
        <f t="shared" si="43"/>
        <v>0</v>
      </c>
      <c r="BN74" s="22">
        <f t="shared" si="43"/>
        <v>0</v>
      </c>
      <c r="BO74" s="22">
        <f t="shared" si="43"/>
        <v>0</v>
      </c>
      <c r="BP74" s="22">
        <f t="shared" ref="BP74:BP78" si="59">X74-AT74</f>
        <v>0</v>
      </c>
      <c r="BQ74" s="22">
        <f t="shared" si="44"/>
        <v>0</v>
      </c>
      <c r="BR74" s="22">
        <f t="shared" si="44"/>
        <v>0</v>
      </c>
      <c r="BS74" s="22">
        <f t="shared" si="44"/>
        <v>0</v>
      </c>
      <c r="BT74" s="72">
        <f t="shared" ref="BT74:BT114" si="60">+BU74/G74</f>
        <v>0</v>
      </c>
      <c r="BU74" s="22">
        <f t="shared" si="45"/>
        <v>0</v>
      </c>
      <c r="BV74" s="71"/>
      <c r="BW74" s="71"/>
      <c r="BX74" s="71"/>
      <c r="BY74" s="71"/>
      <c r="BZ74" s="71"/>
      <c r="CA74" s="71"/>
      <c r="CB74" s="71"/>
      <c r="CC74" s="71"/>
      <c r="CD74" s="71"/>
      <c r="CE74" s="71"/>
      <c r="CF74" s="71"/>
      <c r="CG74" s="71"/>
      <c r="CH74" s="71"/>
      <c r="CI74" s="71"/>
      <c r="CJ74" s="71"/>
      <c r="CK74" s="71"/>
      <c r="CL74" s="71"/>
      <c r="CM74" s="71"/>
      <c r="CN74" s="71"/>
      <c r="CO74" s="71"/>
      <c r="CP74" s="72">
        <f t="shared" si="52"/>
        <v>1</v>
      </c>
      <c r="CQ74" s="22">
        <f t="shared" si="46"/>
        <v>5000000</v>
      </c>
      <c r="CR74" s="22">
        <f t="shared" si="50"/>
        <v>0</v>
      </c>
      <c r="CS74" s="22">
        <f t="shared" si="47"/>
        <v>5000000</v>
      </c>
      <c r="CT74" s="22">
        <f t="shared" si="47"/>
        <v>0</v>
      </c>
      <c r="CU74" s="22">
        <f t="shared" si="47"/>
        <v>0</v>
      </c>
      <c r="CV74" s="22">
        <f t="shared" si="47"/>
        <v>0</v>
      </c>
      <c r="CW74" s="22">
        <f t="shared" si="47"/>
        <v>0</v>
      </c>
      <c r="CX74" s="22">
        <f t="shared" si="47"/>
        <v>0</v>
      </c>
      <c r="CY74" s="22">
        <f t="shared" si="47"/>
        <v>0</v>
      </c>
      <c r="CZ74" s="22">
        <f t="shared" si="47"/>
        <v>0</v>
      </c>
      <c r="DA74" s="22">
        <f t="shared" si="47"/>
        <v>0</v>
      </c>
      <c r="DB74" s="22">
        <f t="shared" si="47"/>
        <v>0</v>
      </c>
      <c r="DC74" s="22">
        <f t="shared" si="47"/>
        <v>0</v>
      </c>
      <c r="DD74" s="22">
        <f t="shared" si="47"/>
        <v>0</v>
      </c>
      <c r="DE74" s="22">
        <f t="shared" si="47"/>
        <v>0</v>
      </c>
      <c r="DF74" s="22">
        <f t="shared" si="47"/>
        <v>0</v>
      </c>
      <c r="DG74" s="22">
        <f t="shared" si="47"/>
        <v>0</v>
      </c>
      <c r="DH74" s="22">
        <f t="shared" ref="DH74:DH78" si="61">X74-CL74</f>
        <v>0</v>
      </c>
      <c r="DI74" s="22">
        <f t="shared" si="48"/>
        <v>0</v>
      </c>
      <c r="DJ74" s="22">
        <f t="shared" si="48"/>
        <v>0</v>
      </c>
      <c r="DK74" s="22">
        <f t="shared" si="48"/>
        <v>0</v>
      </c>
      <c r="DN74" s="153"/>
      <c r="DO74" s="26">
        <v>5000000</v>
      </c>
      <c r="DP74" s="26">
        <v>0</v>
      </c>
      <c r="DQ74" s="151">
        <f t="shared" si="31"/>
        <v>0</v>
      </c>
    </row>
    <row r="75" spans="1:121" ht="33" hidden="1" customHeight="1" x14ac:dyDescent="0.25">
      <c r="A75" s="199"/>
      <c r="B75" s="191" t="s">
        <v>238</v>
      </c>
      <c r="C75" s="30" t="s">
        <v>239</v>
      </c>
      <c r="D75" s="19" t="s">
        <v>240</v>
      </c>
      <c r="E75" s="20">
        <v>520</v>
      </c>
      <c r="F75" s="67" t="s">
        <v>107</v>
      </c>
      <c r="G75" s="22">
        <f t="shared" si="41"/>
        <v>0</v>
      </c>
      <c r="H75" s="33"/>
      <c r="I75" s="22">
        <f>6000000-6000000</f>
        <v>0</v>
      </c>
      <c r="J75" s="22"/>
      <c r="K75" s="49"/>
      <c r="L75" s="74"/>
      <c r="M75" s="33"/>
      <c r="N75" s="33"/>
      <c r="O75" s="33"/>
      <c r="P75" s="33"/>
      <c r="Q75" s="33"/>
      <c r="R75" s="25"/>
      <c r="S75" s="33"/>
      <c r="T75" s="49"/>
      <c r="U75" s="22"/>
      <c r="V75" s="22"/>
      <c r="W75" s="22"/>
      <c r="X75" s="22"/>
      <c r="Y75" s="22"/>
      <c r="Z75" s="22"/>
      <c r="AA75" s="22"/>
      <c r="AB75" s="23" t="e">
        <f t="shared" si="57"/>
        <v>#DIV/0!</v>
      </c>
      <c r="AC75" s="22">
        <f t="shared" si="51"/>
        <v>0</v>
      </c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3" t="e">
        <f t="shared" si="58"/>
        <v>#DIV/0!</v>
      </c>
      <c r="AY75" s="22">
        <f t="shared" si="42"/>
        <v>0</v>
      </c>
      <c r="AZ75" s="22">
        <f t="shared" si="49"/>
        <v>0</v>
      </c>
      <c r="BA75" s="22">
        <f t="shared" si="49"/>
        <v>0</v>
      </c>
      <c r="BB75" s="22">
        <f t="shared" si="49"/>
        <v>0</v>
      </c>
      <c r="BC75" s="22">
        <f t="shared" si="49"/>
        <v>0</v>
      </c>
      <c r="BD75" s="22">
        <f t="shared" si="49"/>
        <v>0</v>
      </c>
      <c r="BE75" s="22">
        <f t="shared" si="49"/>
        <v>0</v>
      </c>
      <c r="BF75" s="22">
        <f t="shared" si="49"/>
        <v>0</v>
      </c>
      <c r="BG75" s="22">
        <f t="shared" si="49"/>
        <v>0</v>
      </c>
      <c r="BH75" s="22">
        <f t="shared" si="49"/>
        <v>0</v>
      </c>
      <c r="BI75" s="22">
        <f t="shared" si="49"/>
        <v>0</v>
      </c>
      <c r="BJ75" s="22">
        <f t="shared" si="49"/>
        <v>0</v>
      </c>
      <c r="BK75" s="22">
        <f t="shared" si="49"/>
        <v>0</v>
      </c>
      <c r="BL75" s="22">
        <f t="shared" si="49"/>
        <v>0</v>
      </c>
      <c r="BM75" s="22">
        <f t="shared" si="49"/>
        <v>0</v>
      </c>
      <c r="BN75" s="22">
        <f t="shared" si="49"/>
        <v>0</v>
      </c>
      <c r="BO75" s="22">
        <f t="shared" si="49"/>
        <v>0</v>
      </c>
      <c r="BP75" s="22">
        <f t="shared" si="59"/>
        <v>0</v>
      </c>
      <c r="BQ75" s="22">
        <f t="shared" si="44"/>
        <v>0</v>
      </c>
      <c r="BR75" s="22">
        <f t="shared" si="44"/>
        <v>0</v>
      </c>
      <c r="BS75" s="22">
        <f t="shared" si="44"/>
        <v>0</v>
      </c>
      <c r="BT75" s="23" t="e">
        <f t="shared" si="60"/>
        <v>#DIV/0!</v>
      </c>
      <c r="BU75" s="22">
        <f t="shared" si="45"/>
        <v>0</v>
      </c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72" t="e">
        <f t="shared" si="52"/>
        <v>#DIV/0!</v>
      </c>
      <c r="CQ75" s="22">
        <f t="shared" si="46"/>
        <v>0</v>
      </c>
      <c r="CR75" s="22">
        <f t="shared" si="50"/>
        <v>0</v>
      </c>
      <c r="CS75" s="22">
        <f t="shared" si="50"/>
        <v>0</v>
      </c>
      <c r="CT75" s="22">
        <f t="shared" si="50"/>
        <v>0</v>
      </c>
      <c r="CU75" s="22">
        <f t="shared" si="50"/>
        <v>0</v>
      </c>
      <c r="CV75" s="22">
        <f t="shared" si="50"/>
        <v>0</v>
      </c>
      <c r="CW75" s="22">
        <f t="shared" si="50"/>
        <v>0</v>
      </c>
      <c r="CX75" s="22">
        <f t="shared" si="50"/>
        <v>0</v>
      </c>
      <c r="CY75" s="22">
        <f t="shared" si="50"/>
        <v>0</v>
      </c>
      <c r="CZ75" s="22">
        <f t="shared" si="50"/>
        <v>0</v>
      </c>
      <c r="DA75" s="22">
        <f t="shared" si="50"/>
        <v>0</v>
      </c>
      <c r="DB75" s="22">
        <f t="shared" si="50"/>
        <v>0</v>
      </c>
      <c r="DC75" s="22">
        <f t="shared" si="50"/>
        <v>0</v>
      </c>
      <c r="DD75" s="22">
        <f t="shared" si="50"/>
        <v>0</v>
      </c>
      <c r="DE75" s="22">
        <f t="shared" si="50"/>
        <v>0</v>
      </c>
      <c r="DF75" s="22">
        <f t="shared" si="50"/>
        <v>0</v>
      </c>
      <c r="DG75" s="22">
        <f t="shared" si="50"/>
        <v>0</v>
      </c>
      <c r="DH75" s="22">
        <f t="shared" si="61"/>
        <v>0</v>
      </c>
      <c r="DI75" s="22">
        <f t="shared" si="48"/>
        <v>0</v>
      </c>
      <c r="DJ75" s="22">
        <f t="shared" si="48"/>
        <v>0</v>
      </c>
      <c r="DK75" s="22">
        <f t="shared" si="48"/>
        <v>0</v>
      </c>
      <c r="DM75" s="35"/>
      <c r="DN75" s="152"/>
      <c r="DO75" s="26">
        <v>0</v>
      </c>
      <c r="DP75" s="26">
        <v>0</v>
      </c>
      <c r="DQ75" s="151" t="e">
        <f t="shared" si="31"/>
        <v>#DIV/0!</v>
      </c>
    </row>
    <row r="76" spans="1:121" ht="45" hidden="1" x14ac:dyDescent="0.25">
      <c r="A76" s="199"/>
      <c r="B76" s="189"/>
      <c r="C76" s="30" t="s">
        <v>241</v>
      </c>
      <c r="D76" s="19" t="s">
        <v>242</v>
      </c>
      <c r="E76" s="20">
        <v>520</v>
      </c>
      <c r="F76" s="67" t="s">
        <v>107</v>
      </c>
      <c r="G76" s="22">
        <f t="shared" si="41"/>
        <v>200000</v>
      </c>
      <c r="H76" s="33"/>
      <c r="I76" s="22">
        <f>6000000-5800000</f>
        <v>200000</v>
      </c>
      <c r="J76" s="22"/>
      <c r="K76" s="49"/>
      <c r="L76" s="74"/>
      <c r="M76" s="33"/>
      <c r="N76" s="33"/>
      <c r="O76" s="33"/>
      <c r="P76" s="33"/>
      <c r="Q76" s="33"/>
      <c r="R76" s="25"/>
      <c r="S76" s="33"/>
      <c r="T76" s="49"/>
      <c r="U76" s="22"/>
      <c r="V76" s="22"/>
      <c r="W76" s="22"/>
      <c r="X76" s="22"/>
      <c r="Y76" s="22"/>
      <c r="Z76" s="22"/>
      <c r="AA76" s="22"/>
      <c r="AB76" s="23">
        <f t="shared" si="57"/>
        <v>1</v>
      </c>
      <c r="AC76" s="22">
        <f t="shared" si="51"/>
        <v>200000</v>
      </c>
      <c r="AD76" s="22"/>
      <c r="AE76" s="22">
        <f>+'[3]JUNIO 2017'!$K$2152</f>
        <v>200000</v>
      </c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3">
        <f t="shared" si="58"/>
        <v>0</v>
      </c>
      <c r="AY76" s="22">
        <f t="shared" si="42"/>
        <v>0</v>
      </c>
      <c r="AZ76" s="22">
        <f t="shared" si="49"/>
        <v>0</v>
      </c>
      <c r="BA76" s="22">
        <f t="shared" si="49"/>
        <v>0</v>
      </c>
      <c r="BB76" s="22">
        <f t="shared" si="49"/>
        <v>0</v>
      </c>
      <c r="BC76" s="22">
        <f t="shared" si="49"/>
        <v>0</v>
      </c>
      <c r="BD76" s="22">
        <f t="shared" si="49"/>
        <v>0</v>
      </c>
      <c r="BE76" s="22">
        <f t="shared" si="49"/>
        <v>0</v>
      </c>
      <c r="BF76" s="22">
        <f t="shared" si="49"/>
        <v>0</v>
      </c>
      <c r="BG76" s="22">
        <f t="shared" si="49"/>
        <v>0</v>
      </c>
      <c r="BH76" s="22">
        <f t="shared" si="49"/>
        <v>0</v>
      </c>
      <c r="BI76" s="22">
        <f t="shared" si="49"/>
        <v>0</v>
      </c>
      <c r="BJ76" s="22">
        <f t="shared" si="49"/>
        <v>0</v>
      </c>
      <c r="BK76" s="22">
        <f t="shared" si="49"/>
        <v>0</v>
      </c>
      <c r="BL76" s="22">
        <f t="shared" si="49"/>
        <v>0</v>
      </c>
      <c r="BM76" s="22">
        <f t="shared" si="49"/>
        <v>0</v>
      </c>
      <c r="BN76" s="22">
        <f t="shared" si="49"/>
        <v>0</v>
      </c>
      <c r="BO76" s="22">
        <f t="shared" si="49"/>
        <v>0</v>
      </c>
      <c r="BP76" s="22">
        <f t="shared" si="59"/>
        <v>0</v>
      </c>
      <c r="BQ76" s="22">
        <f t="shared" si="44"/>
        <v>0</v>
      </c>
      <c r="BR76" s="22">
        <f t="shared" si="44"/>
        <v>0</v>
      </c>
      <c r="BS76" s="22">
        <f t="shared" si="44"/>
        <v>0</v>
      </c>
      <c r="BT76" s="23">
        <f t="shared" si="60"/>
        <v>1</v>
      </c>
      <c r="BU76" s="22">
        <f t="shared" si="45"/>
        <v>200000</v>
      </c>
      <c r="BV76" s="22"/>
      <c r="BW76" s="22">
        <f>+'[3]JUNIO 2017'!$H$2150</f>
        <v>200000</v>
      </c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72">
        <f t="shared" si="52"/>
        <v>0</v>
      </c>
      <c r="CQ76" s="22">
        <f t="shared" si="46"/>
        <v>0</v>
      </c>
      <c r="CR76" s="22">
        <f t="shared" si="50"/>
        <v>0</v>
      </c>
      <c r="CS76" s="22">
        <f t="shared" si="50"/>
        <v>0</v>
      </c>
      <c r="CT76" s="22">
        <f t="shared" si="50"/>
        <v>0</v>
      </c>
      <c r="CU76" s="22">
        <f t="shared" si="50"/>
        <v>0</v>
      </c>
      <c r="CV76" s="22">
        <f t="shared" si="50"/>
        <v>0</v>
      </c>
      <c r="CW76" s="22">
        <f t="shared" si="50"/>
        <v>0</v>
      </c>
      <c r="CX76" s="22">
        <f t="shared" si="50"/>
        <v>0</v>
      </c>
      <c r="CY76" s="22">
        <f t="shared" si="50"/>
        <v>0</v>
      </c>
      <c r="CZ76" s="22">
        <f t="shared" si="50"/>
        <v>0</v>
      </c>
      <c r="DA76" s="22">
        <f t="shared" si="50"/>
        <v>0</v>
      </c>
      <c r="DB76" s="22">
        <f t="shared" si="50"/>
        <v>0</v>
      </c>
      <c r="DC76" s="22">
        <f t="shared" si="50"/>
        <v>0</v>
      </c>
      <c r="DD76" s="22">
        <f t="shared" si="50"/>
        <v>0</v>
      </c>
      <c r="DE76" s="22">
        <f t="shared" si="50"/>
        <v>0</v>
      </c>
      <c r="DF76" s="22">
        <f t="shared" si="50"/>
        <v>0</v>
      </c>
      <c r="DG76" s="22">
        <f t="shared" si="50"/>
        <v>0</v>
      </c>
      <c r="DH76" s="22">
        <f t="shared" si="61"/>
        <v>0</v>
      </c>
      <c r="DI76" s="22">
        <f t="shared" si="48"/>
        <v>0</v>
      </c>
      <c r="DJ76" s="22">
        <f t="shared" si="48"/>
        <v>0</v>
      </c>
      <c r="DK76" s="22">
        <f t="shared" si="48"/>
        <v>0</v>
      </c>
      <c r="DN76" s="152"/>
      <c r="DO76" s="26">
        <v>200000</v>
      </c>
      <c r="DP76" s="26">
        <v>200000</v>
      </c>
      <c r="DQ76" s="151">
        <f t="shared" si="31"/>
        <v>1</v>
      </c>
    </row>
    <row r="77" spans="1:121" ht="33" hidden="1" customHeight="1" x14ac:dyDescent="0.25">
      <c r="A77" s="199"/>
      <c r="B77" s="189"/>
      <c r="C77" s="30" t="s">
        <v>243</v>
      </c>
      <c r="D77" s="19" t="s">
        <v>244</v>
      </c>
      <c r="E77" s="20">
        <v>520</v>
      </c>
      <c r="F77" s="67" t="s">
        <v>204</v>
      </c>
      <c r="G77" s="22">
        <f t="shared" si="41"/>
        <v>286800000</v>
      </c>
      <c r="H77" s="33"/>
      <c r="I77" s="22">
        <f>200000000+6000000+5800000</f>
        <v>211800000</v>
      </c>
      <c r="J77" s="33"/>
      <c r="K77" s="50"/>
      <c r="L77" s="74"/>
      <c r="M77" s="33"/>
      <c r="N77" s="33"/>
      <c r="O77" s="33"/>
      <c r="P77" s="33"/>
      <c r="Q77" s="33"/>
      <c r="R77" s="25"/>
      <c r="S77" s="33"/>
      <c r="T77" s="74"/>
      <c r="U77" s="22">
        <v>60000000</v>
      </c>
      <c r="V77" s="22">
        <v>12000000</v>
      </c>
      <c r="W77" s="22"/>
      <c r="X77" s="22"/>
      <c r="Y77" s="22"/>
      <c r="Z77" s="22"/>
      <c r="AA77" s="22">
        <f>3000000</f>
        <v>3000000</v>
      </c>
      <c r="AB77" s="23">
        <f t="shared" si="57"/>
        <v>0.95109407252440725</v>
      </c>
      <c r="AC77" s="22">
        <f t="shared" si="51"/>
        <v>272773780</v>
      </c>
      <c r="AD77" s="22"/>
      <c r="AE77" s="22">
        <f>+'[5]AGOSTO 2017'!$K$3249</f>
        <v>199651372</v>
      </c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>
        <f>+'[6]JULIO 2017'!$W$2854</f>
        <v>60000000</v>
      </c>
      <c r="AR77" s="22">
        <f>+'[3]JUNIO 2017'!$X$2159</f>
        <v>12000000</v>
      </c>
      <c r="AS77" s="22"/>
      <c r="AT77" s="22"/>
      <c r="AU77" s="22"/>
      <c r="AV77" s="22"/>
      <c r="AW77" s="22">
        <f>+'[5]AGOSTO 2017'!$AC$3249</f>
        <v>1122408</v>
      </c>
      <c r="AX77" s="23">
        <f t="shared" si="58"/>
        <v>4.8905927475592748E-2</v>
      </c>
      <c r="AY77" s="22">
        <f t="shared" si="42"/>
        <v>14026220</v>
      </c>
      <c r="AZ77" s="22">
        <f t="shared" si="49"/>
        <v>0</v>
      </c>
      <c r="BA77" s="22">
        <f t="shared" si="49"/>
        <v>12148628</v>
      </c>
      <c r="BB77" s="22">
        <f t="shared" si="49"/>
        <v>0</v>
      </c>
      <c r="BC77" s="22">
        <f t="shared" si="49"/>
        <v>0</v>
      </c>
      <c r="BD77" s="22">
        <f t="shared" si="49"/>
        <v>0</v>
      </c>
      <c r="BE77" s="22">
        <f t="shared" si="49"/>
        <v>0</v>
      </c>
      <c r="BF77" s="22">
        <f t="shared" si="49"/>
        <v>0</v>
      </c>
      <c r="BG77" s="22">
        <f t="shared" si="49"/>
        <v>0</v>
      </c>
      <c r="BH77" s="22">
        <f t="shared" si="49"/>
        <v>0</v>
      </c>
      <c r="BI77" s="22">
        <f t="shared" si="49"/>
        <v>0</v>
      </c>
      <c r="BJ77" s="22">
        <f t="shared" si="49"/>
        <v>0</v>
      </c>
      <c r="BK77" s="22">
        <f t="shared" si="49"/>
        <v>0</v>
      </c>
      <c r="BL77" s="22">
        <f t="shared" si="49"/>
        <v>0</v>
      </c>
      <c r="BM77" s="22">
        <f t="shared" si="49"/>
        <v>0</v>
      </c>
      <c r="BN77" s="22">
        <f t="shared" si="49"/>
        <v>0</v>
      </c>
      <c r="BO77" s="22">
        <f t="shared" si="49"/>
        <v>0</v>
      </c>
      <c r="BP77" s="22">
        <f t="shared" si="59"/>
        <v>0</v>
      </c>
      <c r="BQ77" s="22">
        <f t="shared" si="44"/>
        <v>0</v>
      </c>
      <c r="BR77" s="22">
        <f t="shared" si="44"/>
        <v>0</v>
      </c>
      <c r="BS77" s="22">
        <f t="shared" si="44"/>
        <v>1877592</v>
      </c>
      <c r="BT77" s="23">
        <f t="shared" si="60"/>
        <v>0.83723710599721057</v>
      </c>
      <c r="BU77" s="22">
        <f t="shared" si="45"/>
        <v>240119602</v>
      </c>
      <c r="BV77" s="22"/>
      <c r="BW77" s="22">
        <f>+'[5]AGOSTO 2017'!$H$3250+'[5]AGOSTO 2017'!$H$3256+'[5]AGOSTO 2017'!$H$3258+'[5]AGOSTO 2017'!$H$3260+'[5]AGOSTO 2017'!$H$3262+'[5]AGOSTO 2017'!$H$3264+'[5]AGOSTO 2017'!$H$3266+'[5]AGOSTO 2017'!$H$3268+'[5]AGOSTO 2017'!$H$3270+'[5]AGOSTO 2017'!$H$3273+'[5]AGOSTO 2017'!$H$3280+'[5]AGOSTO 2017'!$H$3281+'[5]AGOSTO 2017'!$H$3285+'[5]AGOSTO 2017'!$H$3286+'[5]AGOSTO 2017'!$H$3289+'[5]AGOSTO 2017'!$H$3291+'[5]AGOSTO 2017'!$H$3299</f>
        <v>197706434</v>
      </c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>
        <f>+'[5]AGOSTO 2017'!$H$3300</f>
        <v>41290760</v>
      </c>
      <c r="CJ77" s="22"/>
      <c r="CK77" s="22"/>
      <c r="CL77" s="22"/>
      <c r="CM77" s="22"/>
      <c r="CN77" s="22"/>
      <c r="CO77" s="22">
        <f>+'[5]AGOSTO 2017'!$H$3306</f>
        <v>1122408</v>
      </c>
      <c r="CP77" s="72">
        <f t="shared" si="52"/>
        <v>0.16276289400278943</v>
      </c>
      <c r="CQ77" s="22">
        <f t="shared" si="46"/>
        <v>46680398</v>
      </c>
      <c r="CR77" s="22">
        <f t="shared" si="50"/>
        <v>0</v>
      </c>
      <c r="CS77" s="22">
        <f t="shared" si="50"/>
        <v>14093566</v>
      </c>
      <c r="CT77" s="22">
        <f t="shared" si="50"/>
        <v>0</v>
      </c>
      <c r="CU77" s="22">
        <f t="shared" si="50"/>
        <v>0</v>
      </c>
      <c r="CV77" s="22">
        <f t="shared" si="50"/>
        <v>0</v>
      </c>
      <c r="CW77" s="22">
        <f t="shared" si="50"/>
        <v>0</v>
      </c>
      <c r="CX77" s="22">
        <f t="shared" si="50"/>
        <v>0</v>
      </c>
      <c r="CY77" s="22">
        <f t="shared" si="50"/>
        <v>0</v>
      </c>
      <c r="CZ77" s="22">
        <f t="shared" si="50"/>
        <v>0</v>
      </c>
      <c r="DA77" s="22">
        <f t="shared" si="50"/>
        <v>0</v>
      </c>
      <c r="DB77" s="22">
        <f t="shared" si="50"/>
        <v>0</v>
      </c>
      <c r="DC77" s="22">
        <f t="shared" si="50"/>
        <v>0</v>
      </c>
      <c r="DD77" s="22">
        <f t="shared" si="50"/>
        <v>0</v>
      </c>
      <c r="DE77" s="22">
        <f t="shared" si="50"/>
        <v>18709240</v>
      </c>
      <c r="DF77" s="22">
        <f t="shared" si="50"/>
        <v>12000000</v>
      </c>
      <c r="DG77" s="22">
        <f t="shared" si="50"/>
        <v>0</v>
      </c>
      <c r="DH77" s="22">
        <f t="shared" si="61"/>
        <v>0</v>
      </c>
      <c r="DI77" s="22">
        <f t="shared" si="48"/>
        <v>0</v>
      </c>
      <c r="DJ77" s="22">
        <f t="shared" si="48"/>
        <v>0</v>
      </c>
      <c r="DK77" s="22">
        <f t="shared" si="48"/>
        <v>1877592</v>
      </c>
      <c r="DN77" s="152"/>
      <c r="DO77" s="26">
        <v>286800000</v>
      </c>
      <c r="DP77" s="26">
        <v>240119602</v>
      </c>
      <c r="DQ77" s="151">
        <f t="shared" si="31"/>
        <v>0.83723710599721057</v>
      </c>
    </row>
    <row r="78" spans="1:121" ht="48" hidden="1" x14ac:dyDescent="0.25">
      <c r="A78" s="199"/>
      <c r="B78" s="189"/>
      <c r="C78" s="75" t="s">
        <v>245</v>
      </c>
      <c r="D78" s="19" t="s">
        <v>246</v>
      </c>
      <c r="E78" s="20">
        <v>520</v>
      </c>
      <c r="F78" s="67" t="s">
        <v>247</v>
      </c>
      <c r="G78" s="22">
        <f t="shared" si="41"/>
        <v>65967589</v>
      </c>
      <c r="H78" s="76"/>
      <c r="I78" s="22"/>
      <c r="J78" s="76"/>
      <c r="K78" s="77"/>
      <c r="L78" s="74"/>
      <c r="M78" s="76"/>
      <c r="N78" s="76"/>
      <c r="O78" s="76"/>
      <c r="P78" s="76"/>
      <c r="Q78" s="76"/>
      <c r="R78" s="78"/>
      <c r="S78" s="76"/>
      <c r="T78" s="74"/>
      <c r="U78" s="40"/>
      <c r="V78" s="40"/>
      <c r="W78" s="40"/>
      <c r="X78" s="40"/>
      <c r="Y78" s="40"/>
      <c r="Z78" s="40"/>
      <c r="AA78" s="40">
        <f>22029791+11937798+30000000+2000000</f>
        <v>65967589</v>
      </c>
      <c r="AB78" s="23">
        <f t="shared" si="57"/>
        <v>0.70270743106891476</v>
      </c>
      <c r="AC78" s="22">
        <f t="shared" si="51"/>
        <v>46355915</v>
      </c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>
        <f>+'[5]AGOSTO 2017'!$AC$3311</f>
        <v>46355915</v>
      </c>
      <c r="AX78" s="23">
        <f t="shared" si="58"/>
        <v>0.29729256893108524</v>
      </c>
      <c r="AY78" s="22">
        <f t="shared" si="42"/>
        <v>19611674</v>
      </c>
      <c r="AZ78" s="22">
        <f t="shared" si="49"/>
        <v>0</v>
      </c>
      <c r="BA78" s="22">
        <f t="shared" si="49"/>
        <v>0</v>
      </c>
      <c r="BB78" s="22">
        <f t="shared" si="49"/>
        <v>0</v>
      </c>
      <c r="BC78" s="22">
        <f t="shared" si="49"/>
        <v>0</v>
      </c>
      <c r="BD78" s="22">
        <f t="shared" si="49"/>
        <v>0</v>
      </c>
      <c r="BE78" s="22">
        <f t="shared" si="49"/>
        <v>0</v>
      </c>
      <c r="BF78" s="22">
        <f t="shared" si="49"/>
        <v>0</v>
      </c>
      <c r="BG78" s="22">
        <f t="shared" si="49"/>
        <v>0</v>
      </c>
      <c r="BH78" s="22">
        <f t="shared" si="49"/>
        <v>0</v>
      </c>
      <c r="BI78" s="22">
        <f t="shared" si="49"/>
        <v>0</v>
      </c>
      <c r="BJ78" s="22">
        <f t="shared" si="49"/>
        <v>0</v>
      </c>
      <c r="BK78" s="22">
        <f t="shared" si="49"/>
        <v>0</v>
      </c>
      <c r="BL78" s="22">
        <f t="shared" si="49"/>
        <v>0</v>
      </c>
      <c r="BM78" s="22">
        <f t="shared" si="49"/>
        <v>0</v>
      </c>
      <c r="BN78" s="22">
        <f t="shared" si="49"/>
        <v>0</v>
      </c>
      <c r="BO78" s="22">
        <f t="shared" si="49"/>
        <v>0</v>
      </c>
      <c r="BP78" s="22">
        <f t="shared" si="59"/>
        <v>0</v>
      </c>
      <c r="BQ78" s="22">
        <f t="shared" si="44"/>
        <v>0</v>
      </c>
      <c r="BR78" s="22">
        <f t="shared" si="44"/>
        <v>0</v>
      </c>
      <c r="BS78" s="22">
        <f t="shared" si="44"/>
        <v>19611674</v>
      </c>
      <c r="BT78" s="23">
        <f t="shared" si="60"/>
        <v>0.18933785801994371</v>
      </c>
      <c r="BU78" s="22">
        <f t="shared" si="45"/>
        <v>12490162</v>
      </c>
      <c r="BV78" s="40"/>
      <c r="BW78" s="40"/>
      <c r="BX78" s="40"/>
      <c r="BY78" s="40"/>
      <c r="BZ78" s="40"/>
      <c r="CA78" s="40"/>
      <c r="CB78" s="40"/>
      <c r="CC78" s="40"/>
      <c r="CD78" s="40"/>
      <c r="CE78" s="40"/>
      <c r="CF78" s="40"/>
      <c r="CG78" s="40"/>
      <c r="CH78" s="40"/>
      <c r="CI78" s="40"/>
      <c r="CJ78" s="40"/>
      <c r="CK78" s="40"/>
      <c r="CL78" s="40"/>
      <c r="CM78" s="40"/>
      <c r="CN78" s="40"/>
      <c r="CO78" s="40">
        <f>+'[5]AGOSTO 2017'!$H$3309</f>
        <v>12490162</v>
      </c>
      <c r="CP78" s="72">
        <f t="shared" si="52"/>
        <v>0.81066214198005626</v>
      </c>
      <c r="CQ78" s="22">
        <f t="shared" si="46"/>
        <v>53477427</v>
      </c>
      <c r="CR78" s="22">
        <f t="shared" si="50"/>
        <v>0</v>
      </c>
      <c r="CS78" s="22">
        <f t="shared" si="50"/>
        <v>0</v>
      </c>
      <c r="CT78" s="22">
        <f t="shared" si="50"/>
        <v>0</v>
      </c>
      <c r="CU78" s="22">
        <f t="shared" si="50"/>
        <v>0</v>
      </c>
      <c r="CV78" s="22">
        <f t="shared" si="50"/>
        <v>0</v>
      </c>
      <c r="CW78" s="22">
        <f t="shared" si="50"/>
        <v>0</v>
      </c>
      <c r="CX78" s="22">
        <f t="shared" si="50"/>
        <v>0</v>
      </c>
      <c r="CY78" s="22">
        <f t="shared" si="50"/>
        <v>0</v>
      </c>
      <c r="CZ78" s="22">
        <f t="shared" si="50"/>
        <v>0</v>
      </c>
      <c r="DA78" s="22">
        <f t="shared" si="50"/>
        <v>0</v>
      </c>
      <c r="DB78" s="22">
        <f t="shared" si="50"/>
        <v>0</v>
      </c>
      <c r="DC78" s="22">
        <f t="shared" si="50"/>
        <v>0</v>
      </c>
      <c r="DD78" s="22">
        <f t="shared" si="50"/>
        <v>0</v>
      </c>
      <c r="DE78" s="22">
        <f t="shared" si="50"/>
        <v>0</v>
      </c>
      <c r="DF78" s="22">
        <f t="shared" si="50"/>
        <v>0</v>
      </c>
      <c r="DG78" s="22">
        <f t="shared" si="50"/>
        <v>0</v>
      </c>
      <c r="DH78" s="22">
        <f t="shared" si="61"/>
        <v>0</v>
      </c>
      <c r="DI78" s="22">
        <f t="shared" si="48"/>
        <v>0</v>
      </c>
      <c r="DJ78" s="22">
        <f t="shared" si="48"/>
        <v>0</v>
      </c>
      <c r="DK78" s="22">
        <f t="shared" si="48"/>
        <v>53477427</v>
      </c>
      <c r="DN78" s="152"/>
      <c r="DO78" s="26">
        <v>65967589</v>
      </c>
      <c r="DP78" s="26">
        <v>12490162</v>
      </c>
      <c r="DQ78" s="151">
        <f t="shared" si="31"/>
        <v>0.18933785801994371</v>
      </c>
    </row>
    <row r="79" spans="1:121" s="47" customFormat="1" ht="20.25" customHeight="1" thickTop="1" thickBot="1" x14ac:dyDescent="0.3">
      <c r="A79" s="79"/>
      <c r="B79" s="233" t="s">
        <v>373</v>
      </c>
      <c r="C79" s="234"/>
      <c r="D79" s="234"/>
      <c r="E79" s="234"/>
      <c r="F79" s="235"/>
      <c r="G79" s="62">
        <f>SUM(G58:G78)</f>
        <v>2532390317</v>
      </c>
      <c r="H79" s="62">
        <f>SUM(H58:H78)</f>
        <v>0</v>
      </c>
      <c r="I79" s="62">
        <f>SUM(I58:I78)</f>
        <v>422000000</v>
      </c>
      <c r="J79" s="62">
        <f>SUM(J58:J77)</f>
        <v>0</v>
      </c>
      <c r="K79" s="62">
        <f>SUM(K58:K77)</f>
        <v>0</v>
      </c>
      <c r="L79" s="62">
        <f>SUM(L58:L78)</f>
        <v>0</v>
      </c>
      <c r="M79" s="62">
        <f>SUM(M58:M78)</f>
        <v>0</v>
      </c>
      <c r="N79" s="62">
        <f>SUM(N58:N78)</f>
        <v>0</v>
      </c>
      <c r="O79" s="62">
        <f t="shared" ref="O79:AA79" si="62">SUM(O58:O78)</f>
        <v>0</v>
      </c>
      <c r="P79" s="62">
        <f t="shared" si="62"/>
        <v>0</v>
      </c>
      <c r="Q79" s="62">
        <f t="shared" si="62"/>
        <v>0</v>
      </c>
      <c r="R79" s="62">
        <f t="shared" si="62"/>
        <v>0</v>
      </c>
      <c r="S79" s="62">
        <f t="shared" si="62"/>
        <v>1018432040</v>
      </c>
      <c r="T79" s="62">
        <f t="shared" si="62"/>
        <v>0</v>
      </c>
      <c r="U79" s="62">
        <f t="shared" si="62"/>
        <v>100000000</v>
      </c>
      <c r="V79" s="62">
        <f t="shared" si="62"/>
        <v>272084973</v>
      </c>
      <c r="W79" s="62">
        <f t="shared" si="62"/>
        <v>0</v>
      </c>
      <c r="X79" s="62">
        <f t="shared" si="62"/>
        <v>0</v>
      </c>
      <c r="Y79" s="62">
        <f t="shared" si="62"/>
        <v>0</v>
      </c>
      <c r="Z79" s="62">
        <f t="shared" si="62"/>
        <v>0</v>
      </c>
      <c r="AA79" s="62">
        <f t="shared" si="62"/>
        <v>719873304</v>
      </c>
      <c r="AB79" s="44">
        <f t="shared" si="57"/>
        <v>0.84900847612899788</v>
      </c>
      <c r="AC79" s="62">
        <f>SUM(AC58:AC78)</f>
        <v>2150020844</v>
      </c>
      <c r="AD79" s="62">
        <f t="shared" ref="AD79:AW79" si="63">SUM(AD58:AD78)</f>
        <v>0</v>
      </c>
      <c r="AE79" s="62">
        <f t="shared" si="63"/>
        <v>399043533</v>
      </c>
      <c r="AF79" s="62">
        <f t="shared" si="63"/>
        <v>0</v>
      </c>
      <c r="AG79" s="62">
        <f t="shared" si="63"/>
        <v>0</v>
      </c>
      <c r="AH79" s="62">
        <f t="shared" si="63"/>
        <v>0</v>
      </c>
      <c r="AI79" s="62">
        <f t="shared" si="63"/>
        <v>0</v>
      </c>
      <c r="AJ79" s="62">
        <f t="shared" si="63"/>
        <v>0</v>
      </c>
      <c r="AK79" s="62">
        <f t="shared" si="63"/>
        <v>0</v>
      </c>
      <c r="AL79" s="62">
        <f t="shared" si="63"/>
        <v>0</v>
      </c>
      <c r="AM79" s="62">
        <f t="shared" si="63"/>
        <v>0</v>
      </c>
      <c r="AN79" s="62">
        <f t="shared" si="63"/>
        <v>0</v>
      </c>
      <c r="AO79" s="62">
        <f t="shared" si="63"/>
        <v>780745920</v>
      </c>
      <c r="AP79" s="62">
        <f t="shared" si="63"/>
        <v>0</v>
      </c>
      <c r="AQ79" s="62">
        <f t="shared" si="63"/>
        <v>100000000</v>
      </c>
      <c r="AR79" s="62">
        <f t="shared" si="63"/>
        <v>239883201</v>
      </c>
      <c r="AS79" s="62">
        <f t="shared" si="63"/>
        <v>0</v>
      </c>
      <c r="AT79" s="62">
        <f t="shared" si="63"/>
        <v>0</v>
      </c>
      <c r="AU79" s="62">
        <f t="shared" si="63"/>
        <v>0</v>
      </c>
      <c r="AV79" s="62">
        <f t="shared" si="63"/>
        <v>0</v>
      </c>
      <c r="AW79" s="62">
        <f t="shared" si="63"/>
        <v>630348190</v>
      </c>
      <c r="AX79" s="44">
        <f t="shared" si="58"/>
        <v>0.15099152387100212</v>
      </c>
      <c r="AY79" s="62">
        <f t="shared" ref="AY79:BS79" si="64">SUM(AY58:AY78)</f>
        <v>382369473</v>
      </c>
      <c r="AZ79" s="62">
        <f t="shared" si="64"/>
        <v>0</v>
      </c>
      <c r="BA79" s="62">
        <f t="shared" si="64"/>
        <v>22956467</v>
      </c>
      <c r="BB79" s="62">
        <f t="shared" si="64"/>
        <v>0</v>
      </c>
      <c r="BC79" s="62">
        <f t="shared" si="64"/>
        <v>0</v>
      </c>
      <c r="BD79" s="62">
        <f t="shared" si="64"/>
        <v>0</v>
      </c>
      <c r="BE79" s="62">
        <f t="shared" si="64"/>
        <v>0</v>
      </c>
      <c r="BF79" s="62">
        <f t="shared" si="64"/>
        <v>0</v>
      </c>
      <c r="BG79" s="62">
        <f t="shared" si="64"/>
        <v>0</v>
      </c>
      <c r="BH79" s="62">
        <f t="shared" si="64"/>
        <v>0</v>
      </c>
      <c r="BI79" s="62">
        <f t="shared" si="64"/>
        <v>0</v>
      </c>
      <c r="BJ79" s="62">
        <f t="shared" si="64"/>
        <v>0</v>
      </c>
      <c r="BK79" s="62">
        <f t="shared" si="64"/>
        <v>237686120</v>
      </c>
      <c r="BL79" s="62">
        <f t="shared" si="64"/>
        <v>0</v>
      </c>
      <c r="BM79" s="62">
        <f t="shared" si="64"/>
        <v>0</v>
      </c>
      <c r="BN79" s="62">
        <f t="shared" si="64"/>
        <v>32201772</v>
      </c>
      <c r="BO79" s="62">
        <f t="shared" si="64"/>
        <v>0</v>
      </c>
      <c r="BP79" s="62">
        <f t="shared" si="64"/>
        <v>0</v>
      </c>
      <c r="BQ79" s="62">
        <f t="shared" si="64"/>
        <v>0</v>
      </c>
      <c r="BR79" s="62">
        <f t="shared" si="64"/>
        <v>0</v>
      </c>
      <c r="BS79" s="62">
        <f t="shared" si="64"/>
        <v>89525114</v>
      </c>
      <c r="BT79" s="44">
        <f t="shared" si="60"/>
        <v>0.74558850044757929</v>
      </c>
      <c r="BU79" s="62">
        <f t="shared" ref="BU79:CK79" si="65">SUM(BU58:BU78)</f>
        <v>1888121099</v>
      </c>
      <c r="BV79" s="62">
        <f t="shared" si="65"/>
        <v>0</v>
      </c>
      <c r="BW79" s="62">
        <f t="shared" si="65"/>
        <v>376948878</v>
      </c>
      <c r="BX79" s="62">
        <f t="shared" si="65"/>
        <v>0</v>
      </c>
      <c r="BY79" s="62">
        <f t="shared" si="65"/>
        <v>0</v>
      </c>
      <c r="BZ79" s="62">
        <f t="shared" si="65"/>
        <v>0</v>
      </c>
      <c r="CA79" s="62">
        <f t="shared" si="65"/>
        <v>0</v>
      </c>
      <c r="CB79" s="62">
        <f t="shared" si="65"/>
        <v>0</v>
      </c>
      <c r="CC79" s="62">
        <f t="shared" si="65"/>
        <v>0</v>
      </c>
      <c r="CD79" s="62">
        <f t="shared" si="65"/>
        <v>0</v>
      </c>
      <c r="CE79" s="62">
        <f t="shared" si="65"/>
        <v>0</v>
      </c>
      <c r="CF79" s="62">
        <f t="shared" si="65"/>
        <v>0</v>
      </c>
      <c r="CG79" s="62">
        <f t="shared" si="65"/>
        <v>776599252</v>
      </c>
      <c r="CH79" s="62">
        <f t="shared" si="65"/>
        <v>0</v>
      </c>
      <c r="CI79" s="62">
        <f t="shared" si="65"/>
        <v>60640760</v>
      </c>
      <c r="CJ79" s="62">
        <f t="shared" si="65"/>
        <v>140473723</v>
      </c>
      <c r="CK79" s="62">
        <f t="shared" si="65"/>
        <v>0</v>
      </c>
      <c r="CL79" s="62"/>
      <c r="CM79" s="62">
        <f>SUM(CM58:CM78)</f>
        <v>0</v>
      </c>
      <c r="CN79" s="62">
        <f>SUM(CN58:CN78)</f>
        <v>0</v>
      </c>
      <c r="CO79" s="62">
        <f>SUM(CO58:CO78)</f>
        <v>533458486</v>
      </c>
      <c r="CP79" s="44">
        <f t="shared" si="52"/>
        <v>0.25441149955242071</v>
      </c>
      <c r="CQ79" s="62">
        <f t="shared" ref="CQ79:DK79" si="66">SUM(CQ58:CQ78)</f>
        <v>644269218</v>
      </c>
      <c r="CR79" s="62">
        <f t="shared" si="66"/>
        <v>0</v>
      </c>
      <c r="CS79" s="62">
        <f t="shared" si="66"/>
        <v>45051122</v>
      </c>
      <c r="CT79" s="62">
        <f t="shared" si="66"/>
        <v>0</v>
      </c>
      <c r="CU79" s="62">
        <f t="shared" si="66"/>
        <v>0</v>
      </c>
      <c r="CV79" s="62">
        <f t="shared" si="66"/>
        <v>0</v>
      </c>
      <c r="CW79" s="62">
        <f t="shared" si="66"/>
        <v>0</v>
      </c>
      <c r="CX79" s="62">
        <f t="shared" si="66"/>
        <v>0</v>
      </c>
      <c r="CY79" s="62">
        <f t="shared" si="66"/>
        <v>0</v>
      </c>
      <c r="CZ79" s="62">
        <f t="shared" si="66"/>
        <v>0</v>
      </c>
      <c r="DA79" s="62">
        <f t="shared" si="66"/>
        <v>0</v>
      </c>
      <c r="DB79" s="62">
        <f t="shared" si="66"/>
        <v>0</v>
      </c>
      <c r="DC79" s="62">
        <f t="shared" si="66"/>
        <v>241832788</v>
      </c>
      <c r="DD79" s="62">
        <f t="shared" si="66"/>
        <v>0</v>
      </c>
      <c r="DE79" s="62">
        <f t="shared" si="66"/>
        <v>39359240</v>
      </c>
      <c r="DF79" s="62">
        <f t="shared" si="66"/>
        <v>131611250</v>
      </c>
      <c r="DG79" s="62">
        <f t="shared" si="66"/>
        <v>0</v>
      </c>
      <c r="DH79" s="62">
        <f t="shared" si="66"/>
        <v>0</v>
      </c>
      <c r="DI79" s="62">
        <f t="shared" si="66"/>
        <v>0</v>
      </c>
      <c r="DJ79" s="62">
        <f t="shared" si="66"/>
        <v>0</v>
      </c>
      <c r="DK79" s="62">
        <f t="shared" si="66"/>
        <v>186414818</v>
      </c>
      <c r="DN79" s="150" t="s">
        <v>380</v>
      </c>
      <c r="DO79" s="26">
        <v>2532390317</v>
      </c>
      <c r="DP79" s="26">
        <v>1888121099</v>
      </c>
      <c r="DQ79" s="151">
        <f t="shared" si="31"/>
        <v>0.74558850044757929</v>
      </c>
    </row>
    <row r="80" spans="1:121" s="47" customFormat="1" ht="15.75" hidden="1" thickTop="1" x14ac:dyDescent="0.25">
      <c r="A80" s="203" t="s">
        <v>249</v>
      </c>
      <c r="B80" s="191" t="s">
        <v>250</v>
      </c>
      <c r="C80" s="53" t="s">
        <v>251</v>
      </c>
      <c r="D80" s="19" t="s">
        <v>252</v>
      </c>
      <c r="E80" s="20">
        <v>301</v>
      </c>
      <c r="F80" s="21" t="s">
        <v>253</v>
      </c>
      <c r="G80" s="22">
        <f t="shared" ref="G80:G93" si="67">SUM(H80:AA80)</f>
        <v>74030286</v>
      </c>
      <c r="H80" s="22">
        <f>95000000-20969714</f>
        <v>74030286</v>
      </c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3">
        <f t="shared" si="57"/>
        <v>1</v>
      </c>
      <c r="AC80" s="22">
        <f t="shared" ref="AC80:AC93" si="68">SUM(AD80:AW80)</f>
        <v>74030286</v>
      </c>
      <c r="AD80" s="22">
        <f>+'[6]JULIO 2017'!$J$515</f>
        <v>74030286</v>
      </c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3">
        <f t="shared" si="58"/>
        <v>0</v>
      </c>
      <c r="AY80" s="22">
        <f t="shared" ref="AY80:AY93" si="69">SUM(AZ80:BS80)</f>
        <v>0</v>
      </c>
      <c r="AZ80" s="22">
        <f t="shared" ref="AZ80:BO93" si="70">H80-AD80</f>
        <v>0</v>
      </c>
      <c r="BA80" s="22">
        <f t="shared" si="70"/>
        <v>0</v>
      </c>
      <c r="BB80" s="22">
        <f t="shared" si="70"/>
        <v>0</v>
      </c>
      <c r="BC80" s="22">
        <f t="shared" si="70"/>
        <v>0</v>
      </c>
      <c r="BD80" s="22">
        <f t="shared" si="70"/>
        <v>0</v>
      </c>
      <c r="BE80" s="22">
        <f t="shared" si="70"/>
        <v>0</v>
      </c>
      <c r="BF80" s="22">
        <f t="shared" si="70"/>
        <v>0</v>
      </c>
      <c r="BG80" s="22">
        <f t="shared" si="70"/>
        <v>0</v>
      </c>
      <c r="BH80" s="22">
        <f t="shared" si="70"/>
        <v>0</v>
      </c>
      <c r="BI80" s="22">
        <f t="shared" si="70"/>
        <v>0</v>
      </c>
      <c r="BJ80" s="22">
        <f t="shared" si="70"/>
        <v>0</v>
      </c>
      <c r="BK80" s="22">
        <f t="shared" si="70"/>
        <v>0</v>
      </c>
      <c r="BL80" s="22">
        <f t="shared" si="70"/>
        <v>0</v>
      </c>
      <c r="BM80" s="22">
        <f t="shared" si="70"/>
        <v>0</v>
      </c>
      <c r="BN80" s="22">
        <f t="shared" si="70"/>
        <v>0</v>
      </c>
      <c r="BO80" s="22">
        <f t="shared" si="70"/>
        <v>0</v>
      </c>
      <c r="BP80" s="22">
        <f t="shared" ref="BO80:BS93" si="71">X80-AT80</f>
        <v>0</v>
      </c>
      <c r="BQ80" s="22">
        <f t="shared" si="71"/>
        <v>0</v>
      </c>
      <c r="BR80" s="22">
        <f t="shared" si="71"/>
        <v>0</v>
      </c>
      <c r="BS80" s="22">
        <f t="shared" si="71"/>
        <v>0</v>
      </c>
      <c r="BT80" s="23">
        <f t="shared" si="60"/>
        <v>0.78230196219963277</v>
      </c>
      <c r="BU80" s="22">
        <f t="shared" ref="BU80:BU93" si="72">SUM(BV80:CO80)</f>
        <v>57914038</v>
      </c>
      <c r="BV80" s="22">
        <f>+'[5]AGOSTO 2017'!$H$628</f>
        <v>57914038</v>
      </c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3">
        <f t="shared" si="52"/>
        <v>0.21769803780036723</v>
      </c>
      <c r="CQ80" s="22">
        <f t="shared" ref="CQ80:CQ93" si="73">SUM(CR80:DK80)</f>
        <v>16116248</v>
      </c>
      <c r="CR80" s="22">
        <f>H80-BV80</f>
        <v>16116248</v>
      </c>
      <c r="CS80" s="22"/>
      <c r="CT80" s="22">
        <f t="shared" ref="CT80:DI93" si="74">J80-BX80</f>
        <v>0</v>
      </c>
      <c r="CU80" s="22">
        <f t="shared" si="74"/>
        <v>0</v>
      </c>
      <c r="CV80" s="22">
        <f t="shared" si="74"/>
        <v>0</v>
      </c>
      <c r="CW80" s="22">
        <f t="shared" si="74"/>
        <v>0</v>
      </c>
      <c r="CX80" s="22">
        <f t="shared" si="74"/>
        <v>0</v>
      </c>
      <c r="CY80" s="22">
        <f t="shared" si="74"/>
        <v>0</v>
      </c>
      <c r="CZ80" s="22">
        <f t="shared" si="74"/>
        <v>0</v>
      </c>
      <c r="DA80" s="22">
        <f t="shared" si="74"/>
        <v>0</v>
      </c>
      <c r="DB80" s="22">
        <f t="shared" si="74"/>
        <v>0</v>
      </c>
      <c r="DC80" s="22">
        <f t="shared" si="74"/>
        <v>0</v>
      </c>
      <c r="DD80" s="22">
        <f t="shared" si="74"/>
        <v>0</v>
      </c>
      <c r="DE80" s="22">
        <f t="shared" si="74"/>
        <v>0</v>
      </c>
      <c r="DF80" s="22">
        <f t="shared" si="74"/>
        <v>0</v>
      </c>
      <c r="DG80" s="22">
        <f t="shared" si="74"/>
        <v>0</v>
      </c>
      <c r="DH80" s="22">
        <f t="shared" si="74"/>
        <v>0</v>
      </c>
      <c r="DI80" s="22">
        <f t="shared" si="74"/>
        <v>0</v>
      </c>
      <c r="DJ80" s="22">
        <f t="shared" ref="DI80:DK93" si="75">Z80-CN80</f>
        <v>0</v>
      </c>
      <c r="DK80" s="22">
        <f t="shared" si="75"/>
        <v>0</v>
      </c>
      <c r="DN80" s="154"/>
      <c r="DO80" s="26">
        <v>74030286</v>
      </c>
      <c r="DP80" s="26">
        <v>57914038</v>
      </c>
      <c r="DQ80" s="151">
        <f t="shared" si="31"/>
        <v>0.78230196219963277</v>
      </c>
    </row>
    <row r="81" spans="1:121" s="47" customFormat="1" ht="33" hidden="1" customHeight="1" x14ac:dyDescent="0.25">
      <c r="A81" s="203"/>
      <c r="B81" s="189"/>
      <c r="C81" s="53" t="s">
        <v>254</v>
      </c>
      <c r="D81" s="19" t="s">
        <v>255</v>
      </c>
      <c r="E81" s="20">
        <v>301</v>
      </c>
      <c r="F81" s="21" t="s">
        <v>253</v>
      </c>
      <c r="G81" s="22">
        <f t="shared" si="67"/>
        <v>63674133</v>
      </c>
      <c r="H81" s="22">
        <f>70000000-6325867</f>
        <v>63674133</v>
      </c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3">
        <f t="shared" si="57"/>
        <v>1</v>
      </c>
      <c r="AC81" s="22">
        <f t="shared" si="68"/>
        <v>63674133</v>
      </c>
      <c r="AD81" s="22">
        <f>+'[6]JULIO 2017'!$J$527</f>
        <v>63674133</v>
      </c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3">
        <f t="shared" si="58"/>
        <v>0</v>
      </c>
      <c r="AY81" s="22">
        <f t="shared" si="69"/>
        <v>0</v>
      </c>
      <c r="AZ81" s="22">
        <f t="shared" si="70"/>
        <v>0</v>
      </c>
      <c r="BA81" s="22">
        <f t="shared" si="70"/>
        <v>0</v>
      </c>
      <c r="BB81" s="22">
        <f t="shared" si="70"/>
        <v>0</v>
      </c>
      <c r="BC81" s="22">
        <f t="shared" si="70"/>
        <v>0</v>
      </c>
      <c r="BD81" s="22">
        <f t="shared" si="70"/>
        <v>0</v>
      </c>
      <c r="BE81" s="22">
        <f t="shared" si="70"/>
        <v>0</v>
      </c>
      <c r="BF81" s="22">
        <f t="shared" si="70"/>
        <v>0</v>
      </c>
      <c r="BG81" s="22">
        <f t="shared" si="70"/>
        <v>0</v>
      </c>
      <c r="BH81" s="22">
        <f t="shared" si="70"/>
        <v>0</v>
      </c>
      <c r="BI81" s="22">
        <f t="shared" si="70"/>
        <v>0</v>
      </c>
      <c r="BJ81" s="22">
        <f t="shared" si="70"/>
        <v>0</v>
      </c>
      <c r="BK81" s="22">
        <f t="shared" si="70"/>
        <v>0</v>
      </c>
      <c r="BL81" s="22">
        <f t="shared" si="70"/>
        <v>0</v>
      </c>
      <c r="BM81" s="22">
        <f t="shared" si="70"/>
        <v>0</v>
      </c>
      <c r="BN81" s="22">
        <f t="shared" si="70"/>
        <v>0</v>
      </c>
      <c r="BO81" s="22">
        <f t="shared" si="70"/>
        <v>0</v>
      </c>
      <c r="BP81" s="22">
        <f t="shared" si="71"/>
        <v>0</v>
      </c>
      <c r="BQ81" s="22">
        <f t="shared" si="71"/>
        <v>0</v>
      </c>
      <c r="BR81" s="22">
        <f t="shared" si="71"/>
        <v>0</v>
      </c>
      <c r="BS81" s="22">
        <f t="shared" si="71"/>
        <v>0</v>
      </c>
      <c r="BT81" s="23">
        <f t="shared" si="60"/>
        <v>0.98840521314989871</v>
      </c>
      <c r="BU81" s="22">
        <f t="shared" si="72"/>
        <v>62935845</v>
      </c>
      <c r="BV81" s="22">
        <f>+'[5]AGOSTO 2017'!$H$644</f>
        <v>62935845</v>
      </c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3">
        <f t="shared" si="52"/>
        <v>1.1594786850101291E-2</v>
      </c>
      <c r="CQ81" s="22">
        <f t="shared" si="73"/>
        <v>738288</v>
      </c>
      <c r="CR81" s="22">
        <f t="shared" ref="CR81:DG93" si="76">H81-BV81</f>
        <v>738288</v>
      </c>
      <c r="CS81" s="22">
        <f t="shared" si="76"/>
        <v>0</v>
      </c>
      <c r="CT81" s="22">
        <f t="shared" si="76"/>
        <v>0</v>
      </c>
      <c r="CU81" s="22">
        <f t="shared" si="76"/>
        <v>0</v>
      </c>
      <c r="CV81" s="22">
        <f t="shared" si="76"/>
        <v>0</v>
      </c>
      <c r="CW81" s="22">
        <f t="shared" si="76"/>
        <v>0</v>
      </c>
      <c r="CX81" s="22">
        <f t="shared" si="76"/>
        <v>0</v>
      </c>
      <c r="CY81" s="22">
        <f t="shared" si="76"/>
        <v>0</v>
      </c>
      <c r="CZ81" s="22">
        <f t="shared" si="76"/>
        <v>0</v>
      </c>
      <c r="DA81" s="22">
        <f t="shared" si="76"/>
        <v>0</v>
      </c>
      <c r="DB81" s="22">
        <f t="shared" si="76"/>
        <v>0</v>
      </c>
      <c r="DC81" s="22">
        <f t="shared" si="76"/>
        <v>0</v>
      </c>
      <c r="DD81" s="22">
        <f t="shared" si="76"/>
        <v>0</v>
      </c>
      <c r="DE81" s="22">
        <f t="shared" si="76"/>
        <v>0</v>
      </c>
      <c r="DF81" s="22">
        <f t="shared" si="76"/>
        <v>0</v>
      </c>
      <c r="DG81" s="22">
        <f t="shared" si="76"/>
        <v>0</v>
      </c>
      <c r="DH81" s="22">
        <f t="shared" si="74"/>
        <v>0</v>
      </c>
      <c r="DI81" s="22">
        <f t="shared" si="75"/>
        <v>0</v>
      </c>
      <c r="DJ81" s="22">
        <f t="shared" si="75"/>
        <v>0</v>
      </c>
      <c r="DK81" s="22">
        <f t="shared" si="75"/>
        <v>0</v>
      </c>
      <c r="DN81" s="154"/>
      <c r="DO81" s="26">
        <v>63674133</v>
      </c>
      <c r="DP81" s="26">
        <v>62935845</v>
      </c>
      <c r="DQ81" s="151">
        <f t="shared" si="31"/>
        <v>0.98840521314989871</v>
      </c>
    </row>
    <row r="82" spans="1:121" s="47" customFormat="1" ht="29.25" hidden="1" customHeight="1" x14ac:dyDescent="0.25">
      <c r="A82" s="203"/>
      <c r="B82" s="189"/>
      <c r="C82" s="53" t="s">
        <v>256</v>
      </c>
      <c r="D82" s="19" t="s">
        <v>257</v>
      </c>
      <c r="E82" s="20">
        <v>301</v>
      </c>
      <c r="F82" s="21" t="s">
        <v>253</v>
      </c>
      <c r="G82" s="22">
        <f t="shared" si="67"/>
        <v>72295581</v>
      </c>
      <c r="H82" s="22">
        <f>15000000+20969714+6325867</f>
        <v>42295581</v>
      </c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>
        <v>30000000</v>
      </c>
      <c r="X82" s="22"/>
      <c r="Y82" s="22"/>
      <c r="Z82" s="22"/>
      <c r="AA82" s="22"/>
      <c r="AB82" s="23">
        <f t="shared" si="57"/>
        <v>0.99995635971166763</v>
      </c>
      <c r="AC82" s="22">
        <f t="shared" si="68"/>
        <v>72292426</v>
      </c>
      <c r="AD82" s="22">
        <f>+'[6]JULIO 2017'!$J$537</f>
        <v>42292426</v>
      </c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>
        <f>+'[1]ENERO 2017'!$Q$163</f>
        <v>30000000</v>
      </c>
      <c r="AT82" s="22"/>
      <c r="AU82" s="22"/>
      <c r="AV82" s="22"/>
      <c r="AW82" s="22"/>
      <c r="AX82" s="23">
        <f t="shared" si="58"/>
        <v>4.3640288332369437E-5</v>
      </c>
      <c r="AY82" s="22">
        <f t="shared" si="69"/>
        <v>3155</v>
      </c>
      <c r="AZ82" s="22">
        <f t="shared" si="70"/>
        <v>3155</v>
      </c>
      <c r="BA82" s="22">
        <f t="shared" si="70"/>
        <v>0</v>
      </c>
      <c r="BB82" s="22">
        <f t="shared" si="70"/>
        <v>0</v>
      </c>
      <c r="BC82" s="22">
        <f t="shared" si="70"/>
        <v>0</v>
      </c>
      <c r="BD82" s="22">
        <f t="shared" si="70"/>
        <v>0</v>
      </c>
      <c r="BE82" s="22">
        <f t="shared" si="70"/>
        <v>0</v>
      </c>
      <c r="BF82" s="22">
        <f t="shared" si="70"/>
        <v>0</v>
      </c>
      <c r="BG82" s="22">
        <f t="shared" si="70"/>
        <v>0</v>
      </c>
      <c r="BH82" s="22">
        <f t="shared" si="70"/>
        <v>0</v>
      </c>
      <c r="BI82" s="22">
        <f t="shared" si="70"/>
        <v>0</v>
      </c>
      <c r="BJ82" s="22">
        <f t="shared" si="70"/>
        <v>0</v>
      </c>
      <c r="BK82" s="22">
        <f t="shared" si="70"/>
        <v>0</v>
      </c>
      <c r="BL82" s="22">
        <f t="shared" si="70"/>
        <v>0</v>
      </c>
      <c r="BM82" s="22">
        <f t="shared" si="70"/>
        <v>0</v>
      </c>
      <c r="BN82" s="22">
        <f t="shared" si="70"/>
        <v>0</v>
      </c>
      <c r="BO82" s="22">
        <f t="shared" si="70"/>
        <v>0</v>
      </c>
      <c r="BP82" s="22">
        <f t="shared" si="71"/>
        <v>0</v>
      </c>
      <c r="BQ82" s="22">
        <f t="shared" si="71"/>
        <v>0</v>
      </c>
      <c r="BR82" s="22">
        <f t="shared" si="71"/>
        <v>0</v>
      </c>
      <c r="BS82" s="22">
        <f t="shared" si="71"/>
        <v>0</v>
      </c>
      <c r="BT82" s="23">
        <f t="shared" si="60"/>
        <v>0.99689010037833437</v>
      </c>
      <c r="BU82" s="22">
        <f t="shared" si="72"/>
        <v>72070749</v>
      </c>
      <c r="BV82" s="22">
        <f>+'[5]AGOSTO 2017'!$H$660+'[5]AGOSTO 2017'!$H$667</f>
        <v>42070749</v>
      </c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>
        <f>+'[6]JULIO 2017'!$H$541</f>
        <v>30000000</v>
      </c>
      <c r="CL82" s="22"/>
      <c r="CM82" s="22"/>
      <c r="CN82" s="22"/>
      <c r="CO82" s="22"/>
      <c r="CP82" s="23">
        <f t="shared" si="52"/>
        <v>3.1098996216656349E-3</v>
      </c>
      <c r="CQ82" s="22">
        <f t="shared" si="73"/>
        <v>224832</v>
      </c>
      <c r="CR82" s="22">
        <f t="shared" si="76"/>
        <v>224832</v>
      </c>
      <c r="CS82" s="22">
        <f t="shared" si="76"/>
        <v>0</v>
      </c>
      <c r="CT82" s="22">
        <f t="shared" si="76"/>
        <v>0</v>
      </c>
      <c r="CU82" s="22">
        <f t="shared" si="76"/>
        <v>0</v>
      </c>
      <c r="CV82" s="22">
        <f t="shared" si="76"/>
        <v>0</v>
      </c>
      <c r="CW82" s="22">
        <f t="shared" si="76"/>
        <v>0</v>
      </c>
      <c r="CX82" s="22">
        <f t="shared" si="76"/>
        <v>0</v>
      </c>
      <c r="CY82" s="22">
        <f t="shared" si="76"/>
        <v>0</v>
      </c>
      <c r="CZ82" s="22">
        <f t="shared" si="76"/>
        <v>0</v>
      </c>
      <c r="DA82" s="22">
        <f t="shared" si="76"/>
        <v>0</v>
      </c>
      <c r="DB82" s="22">
        <f t="shared" si="76"/>
        <v>0</v>
      </c>
      <c r="DC82" s="22">
        <f t="shared" si="76"/>
        <v>0</v>
      </c>
      <c r="DD82" s="22">
        <f t="shared" si="76"/>
        <v>0</v>
      </c>
      <c r="DE82" s="22">
        <f t="shared" si="76"/>
        <v>0</v>
      </c>
      <c r="DF82" s="22">
        <f t="shared" si="76"/>
        <v>0</v>
      </c>
      <c r="DG82" s="22">
        <f t="shared" si="76"/>
        <v>0</v>
      </c>
      <c r="DH82" s="22">
        <f t="shared" si="74"/>
        <v>0</v>
      </c>
      <c r="DI82" s="22">
        <f t="shared" si="75"/>
        <v>0</v>
      </c>
      <c r="DJ82" s="22">
        <f t="shared" si="75"/>
        <v>0</v>
      </c>
      <c r="DK82" s="22">
        <f t="shared" si="75"/>
        <v>0</v>
      </c>
      <c r="DN82" s="154"/>
      <c r="DO82" s="26">
        <v>72295581</v>
      </c>
      <c r="DP82" s="26">
        <v>72070749</v>
      </c>
      <c r="DQ82" s="151">
        <f t="shared" si="31"/>
        <v>0.99689010037833437</v>
      </c>
    </row>
    <row r="83" spans="1:121" ht="32.25" hidden="1" customHeight="1" x14ac:dyDescent="0.25">
      <c r="A83" s="203"/>
      <c r="B83" s="189"/>
      <c r="C83" s="53" t="s">
        <v>258</v>
      </c>
      <c r="D83" s="19" t="s">
        <v>259</v>
      </c>
      <c r="E83" s="20">
        <v>301</v>
      </c>
      <c r="F83" s="80" t="s">
        <v>260</v>
      </c>
      <c r="G83" s="22">
        <f t="shared" si="67"/>
        <v>8991754</v>
      </c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>
        <f>2000000+5000000+1991754</f>
        <v>8991754</v>
      </c>
      <c r="AB83" s="23">
        <f t="shared" si="57"/>
        <v>0.22242601387893843</v>
      </c>
      <c r="AC83" s="22">
        <f t="shared" si="68"/>
        <v>2000000</v>
      </c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>
        <f>+'[3]JUNIO 2017'!$G$413</f>
        <v>2000000</v>
      </c>
      <c r="AX83" s="23">
        <f t="shared" si="58"/>
        <v>0.77757398612106154</v>
      </c>
      <c r="AY83" s="22">
        <f t="shared" si="69"/>
        <v>6991754</v>
      </c>
      <c r="AZ83" s="22">
        <f t="shared" si="70"/>
        <v>0</v>
      </c>
      <c r="BA83" s="22">
        <f t="shared" si="70"/>
        <v>0</v>
      </c>
      <c r="BB83" s="22">
        <f t="shared" si="70"/>
        <v>0</v>
      </c>
      <c r="BC83" s="22">
        <f t="shared" si="70"/>
        <v>0</v>
      </c>
      <c r="BD83" s="22">
        <f t="shared" si="70"/>
        <v>0</v>
      </c>
      <c r="BE83" s="22">
        <f t="shared" si="70"/>
        <v>0</v>
      </c>
      <c r="BF83" s="22">
        <f t="shared" si="70"/>
        <v>0</v>
      </c>
      <c r="BG83" s="22">
        <f t="shared" si="70"/>
        <v>0</v>
      </c>
      <c r="BH83" s="22">
        <f t="shared" si="70"/>
        <v>0</v>
      </c>
      <c r="BI83" s="22">
        <f t="shared" si="70"/>
        <v>0</v>
      </c>
      <c r="BJ83" s="22">
        <f t="shared" si="70"/>
        <v>0</v>
      </c>
      <c r="BK83" s="22">
        <f t="shared" si="70"/>
        <v>0</v>
      </c>
      <c r="BL83" s="22">
        <f t="shared" si="70"/>
        <v>0</v>
      </c>
      <c r="BM83" s="22">
        <f t="shared" si="70"/>
        <v>0</v>
      </c>
      <c r="BN83" s="22">
        <f t="shared" si="70"/>
        <v>0</v>
      </c>
      <c r="BO83" s="22">
        <f t="shared" si="70"/>
        <v>0</v>
      </c>
      <c r="BP83" s="22">
        <f t="shared" si="71"/>
        <v>0</v>
      </c>
      <c r="BQ83" s="22">
        <f t="shared" si="71"/>
        <v>0</v>
      </c>
      <c r="BR83" s="22">
        <f t="shared" si="71"/>
        <v>0</v>
      </c>
      <c r="BS83" s="22">
        <f t="shared" si="71"/>
        <v>6991754</v>
      </c>
      <c r="BT83" s="23">
        <f t="shared" si="60"/>
        <v>0.22242601387893843</v>
      </c>
      <c r="BU83" s="22">
        <f t="shared" si="72"/>
        <v>2000000</v>
      </c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>
        <f>+'[3]JUNIO 2017'!$H$413</f>
        <v>2000000</v>
      </c>
      <c r="CP83" s="23">
        <f t="shared" si="52"/>
        <v>0.77757398612106154</v>
      </c>
      <c r="CQ83" s="22">
        <f t="shared" si="73"/>
        <v>6991754</v>
      </c>
      <c r="CR83" s="22">
        <f t="shared" si="76"/>
        <v>0</v>
      </c>
      <c r="CS83" s="22">
        <f t="shared" si="76"/>
        <v>0</v>
      </c>
      <c r="CT83" s="22">
        <f t="shared" si="76"/>
        <v>0</v>
      </c>
      <c r="CU83" s="22">
        <f t="shared" si="76"/>
        <v>0</v>
      </c>
      <c r="CV83" s="22">
        <f t="shared" si="76"/>
        <v>0</v>
      </c>
      <c r="CW83" s="22">
        <f t="shared" si="76"/>
        <v>0</v>
      </c>
      <c r="CX83" s="22">
        <f t="shared" si="76"/>
        <v>0</v>
      </c>
      <c r="CY83" s="22">
        <f t="shared" si="76"/>
        <v>0</v>
      </c>
      <c r="CZ83" s="22">
        <f t="shared" si="76"/>
        <v>0</v>
      </c>
      <c r="DA83" s="22">
        <f t="shared" si="76"/>
        <v>0</v>
      </c>
      <c r="DB83" s="22">
        <f t="shared" si="76"/>
        <v>0</v>
      </c>
      <c r="DC83" s="22">
        <f t="shared" si="76"/>
        <v>0</v>
      </c>
      <c r="DD83" s="22">
        <f t="shared" si="76"/>
        <v>0</v>
      </c>
      <c r="DE83" s="22">
        <f t="shared" si="76"/>
        <v>0</v>
      </c>
      <c r="DF83" s="22">
        <f t="shared" si="76"/>
        <v>0</v>
      </c>
      <c r="DG83" s="22">
        <f t="shared" si="76"/>
        <v>0</v>
      </c>
      <c r="DH83" s="22">
        <f t="shared" si="74"/>
        <v>0</v>
      </c>
      <c r="DI83" s="22">
        <f t="shared" si="75"/>
        <v>0</v>
      </c>
      <c r="DJ83" s="22">
        <f t="shared" si="75"/>
        <v>0</v>
      </c>
      <c r="DK83" s="22">
        <f t="shared" si="75"/>
        <v>6991754</v>
      </c>
      <c r="DN83" s="152"/>
      <c r="DO83" s="26">
        <v>8991754</v>
      </c>
      <c r="DP83" s="26">
        <v>2000000</v>
      </c>
      <c r="DQ83" s="151">
        <f t="shared" si="31"/>
        <v>0.22242601387893843</v>
      </c>
    </row>
    <row r="84" spans="1:121" ht="31.5" hidden="1" customHeight="1" x14ac:dyDescent="0.25">
      <c r="A84" s="203"/>
      <c r="B84" s="189"/>
      <c r="C84" s="53" t="s">
        <v>261</v>
      </c>
      <c r="D84" s="19" t="s">
        <v>262</v>
      </c>
      <c r="E84" s="20">
        <v>301</v>
      </c>
      <c r="F84" s="21" t="s">
        <v>253</v>
      </c>
      <c r="G84" s="22">
        <f>SUM(H84:AA84)</f>
        <v>35000000</v>
      </c>
      <c r="H84" s="22">
        <v>35000000</v>
      </c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3">
        <f t="shared" si="57"/>
        <v>0.87946614285714286</v>
      </c>
      <c r="AC84" s="22">
        <f t="shared" si="68"/>
        <v>30781315</v>
      </c>
      <c r="AD84" s="22">
        <f>+'[6]JULIO 2017'!$J$557</f>
        <v>30781315</v>
      </c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3">
        <f t="shared" si="58"/>
        <v>0.12053385714285714</v>
      </c>
      <c r="AY84" s="22">
        <f t="shared" si="69"/>
        <v>4218685</v>
      </c>
      <c r="AZ84" s="22">
        <f t="shared" si="70"/>
        <v>4218685</v>
      </c>
      <c r="BA84" s="22">
        <f t="shared" si="70"/>
        <v>0</v>
      </c>
      <c r="BB84" s="22">
        <f t="shared" si="70"/>
        <v>0</v>
      </c>
      <c r="BC84" s="22">
        <f t="shared" si="70"/>
        <v>0</v>
      </c>
      <c r="BD84" s="22">
        <f t="shared" si="70"/>
        <v>0</v>
      </c>
      <c r="BE84" s="22">
        <f t="shared" si="70"/>
        <v>0</v>
      </c>
      <c r="BF84" s="22">
        <f t="shared" si="70"/>
        <v>0</v>
      </c>
      <c r="BG84" s="22">
        <f t="shared" si="70"/>
        <v>0</v>
      </c>
      <c r="BH84" s="22">
        <f t="shared" si="70"/>
        <v>0</v>
      </c>
      <c r="BI84" s="22">
        <f t="shared" si="70"/>
        <v>0</v>
      </c>
      <c r="BJ84" s="22">
        <f t="shared" si="70"/>
        <v>0</v>
      </c>
      <c r="BK84" s="22">
        <f t="shared" si="70"/>
        <v>0</v>
      </c>
      <c r="BL84" s="22">
        <f t="shared" si="70"/>
        <v>0</v>
      </c>
      <c r="BM84" s="22">
        <f t="shared" si="70"/>
        <v>0</v>
      </c>
      <c r="BN84" s="22">
        <f t="shared" si="70"/>
        <v>0</v>
      </c>
      <c r="BO84" s="22">
        <f t="shared" si="70"/>
        <v>0</v>
      </c>
      <c r="BP84" s="22">
        <f t="shared" si="71"/>
        <v>0</v>
      </c>
      <c r="BQ84" s="22">
        <f t="shared" si="71"/>
        <v>0</v>
      </c>
      <c r="BR84" s="22">
        <f t="shared" si="71"/>
        <v>0</v>
      </c>
      <c r="BS84" s="22">
        <f t="shared" si="71"/>
        <v>0</v>
      </c>
      <c r="BT84" s="23">
        <f t="shared" si="60"/>
        <v>0.87946614285714286</v>
      </c>
      <c r="BU84" s="22">
        <f t="shared" si="72"/>
        <v>30781315</v>
      </c>
      <c r="BV84" s="22">
        <f>+'[6]JULIO 2017'!$H$555</f>
        <v>30781315</v>
      </c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3">
        <f t="shared" si="52"/>
        <v>0.12053385714285714</v>
      </c>
      <c r="CQ84" s="22">
        <f t="shared" si="73"/>
        <v>4218685</v>
      </c>
      <c r="CR84" s="22">
        <f t="shared" si="76"/>
        <v>4218685</v>
      </c>
      <c r="CS84" s="22">
        <f t="shared" si="76"/>
        <v>0</v>
      </c>
      <c r="CT84" s="22">
        <f t="shared" si="76"/>
        <v>0</v>
      </c>
      <c r="CU84" s="22">
        <f t="shared" si="76"/>
        <v>0</v>
      </c>
      <c r="CV84" s="22">
        <f t="shared" si="76"/>
        <v>0</v>
      </c>
      <c r="CW84" s="22">
        <f t="shared" si="76"/>
        <v>0</v>
      </c>
      <c r="CX84" s="22">
        <f t="shared" si="76"/>
        <v>0</v>
      </c>
      <c r="CY84" s="22">
        <f t="shared" si="76"/>
        <v>0</v>
      </c>
      <c r="CZ84" s="22">
        <f t="shared" si="76"/>
        <v>0</v>
      </c>
      <c r="DA84" s="22">
        <f t="shared" si="76"/>
        <v>0</v>
      </c>
      <c r="DB84" s="22">
        <f t="shared" si="76"/>
        <v>0</v>
      </c>
      <c r="DC84" s="22">
        <f t="shared" si="76"/>
        <v>0</v>
      </c>
      <c r="DD84" s="22">
        <f t="shared" si="76"/>
        <v>0</v>
      </c>
      <c r="DE84" s="22">
        <f t="shared" si="76"/>
        <v>0</v>
      </c>
      <c r="DF84" s="22">
        <f t="shared" si="76"/>
        <v>0</v>
      </c>
      <c r="DG84" s="22">
        <f t="shared" si="76"/>
        <v>0</v>
      </c>
      <c r="DH84" s="22">
        <f t="shared" si="74"/>
        <v>0</v>
      </c>
      <c r="DI84" s="22">
        <f t="shared" si="75"/>
        <v>0</v>
      </c>
      <c r="DJ84" s="22">
        <f t="shared" si="75"/>
        <v>0</v>
      </c>
      <c r="DK84" s="22">
        <f t="shared" si="75"/>
        <v>0</v>
      </c>
      <c r="DN84" s="152"/>
      <c r="DO84" s="26">
        <v>35000000</v>
      </c>
      <c r="DP84" s="26">
        <v>30781315</v>
      </c>
      <c r="DQ84" s="151">
        <f t="shared" si="31"/>
        <v>0.87946614285714286</v>
      </c>
    </row>
    <row r="85" spans="1:121" ht="20.25" hidden="1" customHeight="1" x14ac:dyDescent="0.25">
      <c r="A85" s="203"/>
      <c r="B85" s="189"/>
      <c r="C85" s="53" t="s">
        <v>263</v>
      </c>
      <c r="D85" s="19" t="s">
        <v>264</v>
      </c>
      <c r="E85" s="20">
        <v>301</v>
      </c>
      <c r="F85" s="21" t="s">
        <v>151</v>
      </c>
      <c r="G85" s="22">
        <f t="shared" si="67"/>
        <v>190000000</v>
      </c>
      <c r="H85" s="22"/>
      <c r="I85" s="22">
        <v>60000000</v>
      </c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>
        <v>50000000</v>
      </c>
      <c r="V85" s="22"/>
      <c r="W85" s="22">
        <v>80000000</v>
      </c>
      <c r="X85" s="22"/>
      <c r="Y85" s="22"/>
      <c r="Z85" s="22"/>
      <c r="AA85" s="22"/>
      <c r="AB85" s="23">
        <f t="shared" si="57"/>
        <v>0.94695865789473688</v>
      </c>
      <c r="AC85" s="22">
        <f t="shared" si="68"/>
        <v>179922145</v>
      </c>
      <c r="AD85" s="22"/>
      <c r="AE85" s="22">
        <f>+'[1]ENERO 2017'!$K$184</f>
        <v>60000000</v>
      </c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>
        <f>+'[6]JULIO 2017'!$W$565</f>
        <v>50000000</v>
      </c>
      <c r="AR85" s="22"/>
      <c r="AS85" s="22">
        <f>+'[6]JULIO 2017'!$Y$565</f>
        <v>69922145</v>
      </c>
      <c r="AT85" s="22"/>
      <c r="AU85" s="22"/>
      <c r="AV85" s="22"/>
      <c r="AW85" s="22"/>
      <c r="AX85" s="23">
        <f t="shared" si="58"/>
        <v>5.3041342105263123E-2</v>
      </c>
      <c r="AY85" s="22">
        <f t="shared" si="69"/>
        <v>10077855</v>
      </c>
      <c r="AZ85" s="22">
        <f t="shared" si="70"/>
        <v>0</v>
      </c>
      <c r="BA85" s="22">
        <f t="shared" si="70"/>
        <v>0</v>
      </c>
      <c r="BB85" s="22">
        <f t="shared" si="70"/>
        <v>0</v>
      </c>
      <c r="BC85" s="22">
        <f t="shared" si="70"/>
        <v>0</v>
      </c>
      <c r="BD85" s="22">
        <f t="shared" si="70"/>
        <v>0</v>
      </c>
      <c r="BE85" s="22">
        <f t="shared" si="70"/>
        <v>0</v>
      </c>
      <c r="BF85" s="22">
        <f t="shared" si="70"/>
        <v>0</v>
      </c>
      <c r="BG85" s="22">
        <f t="shared" si="70"/>
        <v>0</v>
      </c>
      <c r="BH85" s="22">
        <f t="shared" si="70"/>
        <v>0</v>
      </c>
      <c r="BI85" s="22">
        <f t="shared" si="70"/>
        <v>0</v>
      </c>
      <c r="BJ85" s="22">
        <f t="shared" si="70"/>
        <v>0</v>
      </c>
      <c r="BK85" s="22">
        <f t="shared" si="70"/>
        <v>0</v>
      </c>
      <c r="BL85" s="22">
        <f t="shared" si="70"/>
        <v>0</v>
      </c>
      <c r="BM85" s="22">
        <f t="shared" si="70"/>
        <v>0</v>
      </c>
      <c r="BN85" s="22">
        <f t="shared" si="70"/>
        <v>0</v>
      </c>
      <c r="BO85" s="22">
        <f t="shared" si="70"/>
        <v>10077855</v>
      </c>
      <c r="BP85" s="22">
        <f t="shared" si="71"/>
        <v>0</v>
      </c>
      <c r="BQ85" s="22">
        <f t="shared" si="71"/>
        <v>0</v>
      </c>
      <c r="BR85" s="22">
        <f t="shared" si="71"/>
        <v>0</v>
      </c>
      <c r="BS85" s="22">
        <f t="shared" si="71"/>
        <v>0</v>
      </c>
      <c r="BT85" s="23">
        <f t="shared" si="60"/>
        <v>0.88058536842105262</v>
      </c>
      <c r="BU85" s="22">
        <f t="shared" si="72"/>
        <v>167311220</v>
      </c>
      <c r="BV85" s="22"/>
      <c r="BW85" s="22">
        <f>+'[3]JUNIO 2017'!$H$451</f>
        <v>60000000</v>
      </c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>
        <f>+'[5]AGOSTO 2017'!$H$717</f>
        <v>37389075</v>
      </c>
      <c r="CJ85" s="22"/>
      <c r="CK85" s="22">
        <f>+'[5]AGOSTO 2017'!$H$715+'[5]AGOSTO 2017'!$H$692</f>
        <v>69922145</v>
      </c>
      <c r="CL85" s="22"/>
      <c r="CM85" s="22"/>
      <c r="CN85" s="22"/>
      <c r="CO85" s="22"/>
      <c r="CP85" s="23">
        <f t="shared" si="52"/>
        <v>0.11941463157894738</v>
      </c>
      <c r="CQ85" s="22">
        <f t="shared" si="73"/>
        <v>22688780</v>
      </c>
      <c r="CR85" s="22">
        <f t="shared" si="76"/>
        <v>0</v>
      </c>
      <c r="CS85" s="22">
        <f t="shared" si="76"/>
        <v>0</v>
      </c>
      <c r="CT85" s="22">
        <f t="shared" si="76"/>
        <v>0</v>
      </c>
      <c r="CU85" s="22">
        <f t="shared" si="76"/>
        <v>0</v>
      </c>
      <c r="CV85" s="22">
        <f t="shared" si="76"/>
        <v>0</v>
      </c>
      <c r="CW85" s="22">
        <f t="shared" si="76"/>
        <v>0</v>
      </c>
      <c r="CX85" s="22">
        <f t="shared" si="76"/>
        <v>0</v>
      </c>
      <c r="CY85" s="22">
        <f t="shared" si="76"/>
        <v>0</v>
      </c>
      <c r="CZ85" s="22">
        <f t="shared" si="76"/>
        <v>0</v>
      </c>
      <c r="DA85" s="22">
        <f t="shared" si="76"/>
        <v>0</v>
      </c>
      <c r="DB85" s="22">
        <f t="shared" si="76"/>
        <v>0</v>
      </c>
      <c r="DC85" s="22">
        <f t="shared" si="76"/>
        <v>0</v>
      </c>
      <c r="DD85" s="22">
        <f t="shared" si="76"/>
        <v>0</v>
      </c>
      <c r="DE85" s="22">
        <f t="shared" si="76"/>
        <v>12610925</v>
      </c>
      <c r="DF85" s="22">
        <f t="shared" si="76"/>
        <v>0</v>
      </c>
      <c r="DG85" s="22">
        <f t="shared" si="76"/>
        <v>10077855</v>
      </c>
      <c r="DH85" s="22">
        <f t="shared" si="74"/>
        <v>0</v>
      </c>
      <c r="DI85" s="22">
        <f t="shared" si="75"/>
        <v>0</v>
      </c>
      <c r="DJ85" s="22">
        <f t="shared" si="75"/>
        <v>0</v>
      </c>
      <c r="DK85" s="22">
        <f t="shared" si="75"/>
        <v>0</v>
      </c>
      <c r="DN85" s="152"/>
      <c r="DO85" s="26">
        <v>190000000</v>
      </c>
      <c r="DP85" s="26">
        <v>167311220</v>
      </c>
      <c r="DQ85" s="151">
        <f t="shared" si="31"/>
        <v>0.88058536842105262</v>
      </c>
    </row>
    <row r="86" spans="1:121" ht="29.25" hidden="1" customHeight="1" x14ac:dyDescent="0.25">
      <c r="A86" s="203"/>
      <c r="B86" s="189"/>
      <c r="C86" s="53" t="s">
        <v>265</v>
      </c>
      <c r="D86" s="19" t="s">
        <v>266</v>
      </c>
      <c r="E86" s="20">
        <v>301</v>
      </c>
      <c r="F86" s="21" t="s">
        <v>267</v>
      </c>
      <c r="G86" s="22">
        <f t="shared" si="67"/>
        <v>29955000</v>
      </c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>
        <v>29955000</v>
      </c>
      <c r="X86" s="22"/>
      <c r="Y86" s="22"/>
      <c r="Z86" s="22"/>
      <c r="AA86" s="22"/>
      <c r="AB86" s="23">
        <f t="shared" si="57"/>
        <v>0.98322630612585549</v>
      </c>
      <c r="AC86" s="22">
        <f t="shared" si="68"/>
        <v>29452544</v>
      </c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>
        <f>+'[6]JULIO 2017'!$Y$596</f>
        <v>29452544</v>
      </c>
      <c r="AT86" s="22"/>
      <c r="AU86" s="22"/>
      <c r="AV86" s="22"/>
      <c r="AW86" s="22"/>
      <c r="AX86" s="23">
        <f t="shared" si="58"/>
        <v>1.6773693874144513E-2</v>
      </c>
      <c r="AY86" s="22">
        <f t="shared" si="69"/>
        <v>502456</v>
      </c>
      <c r="AZ86" s="22">
        <f t="shared" si="70"/>
        <v>0</v>
      </c>
      <c r="BA86" s="22">
        <f t="shared" si="70"/>
        <v>0</v>
      </c>
      <c r="BB86" s="22">
        <f t="shared" si="70"/>
        <v>0</v>
      </c>
      <c r="BC86" s="22">
        <f t="shared" si="70"/>
        <v>0</v>
      </c>
      <c r="BD86" s="22">
        <f t="shared" si="70"/>
        <v>0</v>
      </c>
      <c r="BE86" s="22">
        <f t="shared" si="70"/>
        <v>0</v>
      </c>
      <c r="BF86" s="22">
        <f t="shared" si="70"/>
        <v>0</v>
      </c>
      <c r="BG86" s="22">
        <f t="shared" si="70"/>
        <v>0</v>
      </c>
      <c r="BH86" s="22">
        <f t="shared" si="70"/>
        <v>0</v>
      </c>
      <c r="BI86" s="22">
        <f t="shared" si="70"/>
        <v>0</v>
      </c>
      <c r="BJ86" s="22">
        <f t="shared" si="70"/>
        <v>0</v>
      </c>
      <c r="BK86" s="22">
        <f t="shared" si="70"/>
        <v>0</v>
      </c>
      <c r="BL86" s="22">
        <f t="shared" si="70"/>
        <v>0</v>
      </c>
      <c r="BM86" s="22">
        <f t="shared" si="70"/>
        <v>0</v>
      </c>
      <c r="BN86" s="22">
        <f t="shared" si="70"/>
        <v>0</v>
      </c>
      <c r="BO86" s="22">
        <f t="shared" si="70"/>
        <v>502456</v>
      </c>
      <c r="BP86" s="22">
        <f t="shared" si="71"/>
        <v>0</v>
      </c>
      <c r="BQ86" s="22">
        <f t="shared" si="71"/>
        <v>0</v>
      </c>
      <c r="BR86" s="22">
        <f t="shared" si="71"/>
        <v>0</v>
      </c>
      <c r="BS86" s="22">
        <f t="shared" si="71"/>
        <v>0</v>
      </c>
      <c r="BT86" s="23">
        <f t="shared" si="60"/>
        <v>0.98322630612585549</v>
      </c>
      <c r="BU86" s="22">
        <f t="shared" si="72"/>
        <v>29452544</v>
      </c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>
        <f>+'[5]AGOSTO 2017'!$Y$729</f>
        <v>29452544</v>
      </c>
      <c r="CL86" s="22"/>
      <c r="CM86" s="22"/>
      <c r="CN86" s="22"/>
      <c r="CO86" s="22"/>
      <c r="CP86" s="23">
        <f t="shared" si="52"/>
        <v>1.6773693874144513E-2</v>
      </c>
      <c r="CQ86" s="22">
        <f t="shared" si="73"/>
        <v>502456</v>
      </c>
      <c r="CR86" s="22">
        <f t="shared" si="76"/>
        <v>0</v>
      </c>
      <c r="CS86" s="22">
        <f t="shared" si="76"/>
        <v>0</v>
      </c>
      <c r="CT86" s="22">
        <f t="shared" si="76"/>
        <v>0</v>
      </c>
      <c r="CU86" s="22">
        <f t="shared" si="76"/>
        <v>0</v>
      </c>
      <c r="CV86" s="22">
        <f t="shared" si="76"/>
        <v>0</v>
      </c>
      <c r="CW86" s="22">
        <f t="shared" si="76"/>
        <v>0</v>
      </c>
      <c r="CX86" s="22">
        <f t="shared" si="76"/>
        <v>0</v>
      </c>
      <c r="CY86" s="22">
        <f t="shared" si="76"/>
        <v>0</v>
      </c>
      <c r="CZ86" s="22">
        <f t="shared" si="76"/>
        <v>0</v>
      </c>
      <c r="DA86" s="22">
        <f t="shared" si="76"/>
        <v>0</v>
      </c>
      <c r="DB86" s="22">
        <f t="shared" si="76"/>
        <v>0</v>
      </c>
      <c r="DC86" s="22">
        <f t="shared" si="76"/>
        <v>0</v>
      </c>
      <c r="DD86" s="22">
        <f t="shared" si="76"/>
        <v>0</v>
      </c>
      <c r="DE86" s="22">
        <f t="shared" si="76"/>
        <v>0</v>
      </c>
      <c r="DF86" s="22">
        <f t="shared" si="76"/>
        <v>0</v>
      </c>
      <c r="DG86" s="22">
        <f t="shared" si="76"/>
        <v>502456</v>
      </c>
      <c r="DH86" s="22">
        <f t="shared" si="74"/>
        <v>0</v>
      </c>
      <c r="DI86" s="22">
        <f t="shared" si="75"/>
        <v>0</v>
      </c>
      <c r="DJ86" s="22">
        <f t="shared" si="75"/>
        <v>0</v>
      </c>
      <c r="DK86" s="22">
        <f t="shared" si="75"/>
        <v>0</v>
      </c>
      <c r="DN86" s="152"/>
      <c r="DO86" s="26">
        <v>29955000</v>
      </c>
      <c r="DP86" s="26">
        <v>29452544</v>
      </c>
      <c r="DQ86" s="151">
        <f t="shared" si="31"/>
        <v>0.98322630612585549</v>
      </c>
    </row>
    <row r="87" spans="1:121" ht="25.5" hidden="1" customHeight="1" x14ac:dyDescent="0.25">
      <c r="A87" s="203"/>
      <c r="B87" s="68" t="s">
        <v>268</v>
      </c>
      <c r="C87" s="81" t="s">
        <v>269</v>
      </c>
      <c r="D87" s="19" t="s">
        <v>270</v>
      </c>
      <c r="E87" s="28">
        <v>301</v>
      </c>
      <c r="F87" s="21" t="s">
        <v>271</v>
      </c>
      <c r="G87" s="22">
        <f t="shared" si="67"/>
        <v>514028160</v>
      </c>
      <c r="H87" s="22">
        <v>30000000</v>
      </c>
      <c r="I87" s="22">
        <v>270000000</v>
      </c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>
        <v>115000000</v>
      </c>
      <c r="U87" s="22">
        <v>17000000</v>
      </c>
      <c r="V87" s="22">
        <v>80000000</v>
      </c>
      <c r="W87" s="22"/>
      <c r="X87" s="22"/>
      <c r="Y87" s="22"/>
      <c r="Z87" s="22"/>
      <c r="AA87" s="22">
        <f>1000000+1028160</f>
        <v>2028160</v>
      </c>
      <c r="AB87" s="23">
        <f t="shared" si="57"/>
        <v>0.99805458128986557</v>
      </c>
      <c r="AC87" s="22">
        <f t="shared" si="68"/>
        <v>513028160</v>
      </c>
      <c r="AD87" s="22">
        <f>+'[5]AGOSTO 2017'!$J$739</f>
        <v>30000000</v>
      </c>
      <c r="AE87" s="22">
        <f>+'[5]AGOSTO 2017'!$K$739</f>
        <v>270000000</v>
      </c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>
        <f>+'[5]AGOSTO 2017'!$V$739</f>
        <v>115000000</v>
      </c>
      <c r="AQ87" s="22">
        <f>+'[6]JULIO 2017'!$W$605</f>
        <v>17000000</v>
      </c>
      <c r="AR87" s="22">
        <f>+'[5]AGOSTO 2017'!$X$739</f>
        <v>80000000</v>
      </c>
      <c r="AS87" s="22"/>
      <c r="AT87" s="22"/>
      <c r="AU87" s="22"/>
      <c r="AV87" s="22"/>
      <c r="AW87" s="22">
        <f>+'[3]JUNIO 2017'!$AC$468</f>
        <v>1028160</v>
      </c>
      <c r="AX87" s="23">
        <f t="shared" si="58"/>
        <v>1.9454187101344278E-3</v>
      </c>
      <c r="AY87" s="22">
        <f t="shared" si="69"/>
        <v>1000000</v>
      </c>
      <c r="AZ87" s="22">
        <f t="shared" si="70"/>
        <v>0</v>
      </c>
      <c r="BA87" s="22">
        <f t="shared" si="70"/>
        <v>0</v>
      </c>
      <c r="BB87" s="22">
        <f t="shared" si="70"/>
        <v>0</v>
      </c>
      <c r="BC87" s="22">
        <f t="shared" si="70"/>
        <v>0</v>
      </c>
      <c r="BD87" s="22">
        <f t="shared" si="70"/>
        <v>0</v>
      </c>
      <c r="BE87" s="22">
        <f t="shared" si="70"/>
        <v>0</v>
      </c>
      <c r="BF87" s="22">
        <f t="shared" si="70"/>
        <v>0</v>
      </c>
      <c r="BG87" s="22">
        <f t="shared" si="70"/>
        <v>0</v>
      </c>
      <c r="BH87" s="22">
        <f t="shared" si="70"/>
        <v>0</v>
      </c>
      <c r="BI87" s="22">
        <f t="shared" si="70"/>
        <v>0</v>
      </c>
      <c r="BJ87" s="22">
        <f t="shared" si="70"/>
        <v>0</v>
      </c>
      <c r="BK87" s="22">
        <f t="shared" si="70"/>
        <v>0</v>
      </c>
      <c r="BL87" s="22">
        <f t="shared" si="70"/>
        <v>0</v>
      </c>
      <c r="BM87" s="22">
        <f t="shared" si="70"/>
        <v>0</v>
      </c>
      <c r="BN87" s="22">
        <f t="shared" si="70"/>
        <v>0</v>
      </c>
      <c r="BO87" s="22">
        <f t="shared" si="70"/>
        <v>0</v>
      </c>
      <c r="BP87" s="22">
        <f t="shared" si="71"/>
        <v>0</v>
      </c>
      <c r="BQ87" s="22">
        <f t="shared" si="71"/>
        <v>0</v>
      </c>
      <c r="BR87" s="22">
        <f t="shared" si="71"/>
        <v>0</v>
      </c>
      <c r="BS87" s="22">
        <f t="shared" si="71"/>
        <v>1000000</v>
      </c>
      <c r="BT87" s="23">
        <f t="shared" si="60"/>
        <v>0.81012588298664412</v>
      </c>
      <c r="BU87" s="22">
        <f t="shared" si="72"/>
        <v>416427517</v>
      </c>
      <c r="BV87" s="22">
        <f>+'[2]FEBRERO 2017'!$H$297</f>
        <v>22000000</v>
      </c>
      <c r="BW87" s="22">
        <f>+'[6]JULIO 2017'!$H$610</f>
        <v>268649090</v>
      </c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>
        <f>+'[5]AGOSTO 2017'!$H$803+'[5]AGOSTO 2017'!$H$806+'[5]AGOSTO 2017'!$H$821</f>
        <v>110056741</v>
      </c>
      <c r="CI87" s="22">
        <f>+'[5]AGOSTO 2017'!$H$813</f>
        <v>11693526</v>
      </c>
      <c r="CJ87" s="22">
        <f>+'[5]AGOSTO 2017'!$H$811</f>
        <v>3000000</v>
      </c>
      <c r="CK87" s="22"/>
      <c r="CL87" s="22"/>
      <c r="CM87" s="22"/>
      <c r="CN87" s="22"/>
      <c r="CO87" s="22">
        <f>+'[6]JULIO 2017'!$H$667</f>
        <v>1028160</v>
      </c>
      <c r="CP87" s="23">
        <f t="shared" si="52"/>
        <v>0.18987411701335588</v>
      </c>
      <c r="CQ87" s="22">
        <f t="shared" si="73"/>
        <v>97600643</v>
      </c>
      <c r="CR87" s="22">
        <f t="shared" si="76"/>
        <v>8000000</v>
      </c>
      <c r="CS87" s="22">
        <f t="shared" si="76"/>
        <v>1350910</v>
      </c>
      <c r="CT87" s="22">
        <f t="shared" si="76"/>
        <v>0</v>
      </c>
      <c r="CU87" s="22">
        <f t="shared" si="76"/>
        <v>0</v>
      </c>
      <c r="CV87" s="22">
        <f t="shared" si="76"/>
        <v>0</v>
      </c>
      <c r="CW87" s="22">
        <f t="shared" si="76"/>
        <v>0</v>
      </c>
      <c r="CX87" s="22">
        <f t="shared" si="76"/>
        <v>0</v>
      </c>
      <c r="CY87" s="22">
        <f t="shared" si="76"/>
        <v>0</v>
      </c>
      <c r="CZ87" s="22">
        <f t="shared" si="76"/>
        <v>0</v>
      </c>
      <c r="DA87" s="22">
        <f t="shared" si="76"/>
        <v>0</v>
      </c>
      <c r="DB87" s="22">
        <f t="shared" si="76"/>
        <v>0</v>
      </c>
      <c r="DC87" s="22">
        <f t="shared" si="76"/>
        <v>0</v>
      </c>
      <c r="DD87" s="22">
        <f t="shared" si="76"/>
        <v>4943259</v>
      </c>
      <c r="DE87" s="22">
        <f t="shared" si="76"/>
        <v>5306474</v>
      </c>
      <c r="DF87" s="22">
        <f t="shared" si="76"/>
        <v>77000000</v>
      </c>
      <c r="DG87" s="22">
        <f t="shared" si="76"/>
        <v>0</v>
      </c>
      <c r="DH87" s="22">
        <f t="shared" si="74"/>
        <v>0</v>
      </c>
      <c r="DI87" s="22">
        <f t="shared" si="75"/>
        <v>0</v>
      </c>
      <c r="DJ87" s="22">
        <f t="shared" si="75"/>
        <v>0</v>
      </c>
      <c r="DK87" s="22">
        <f t="shared" si="75"/>
        <v>1000000</v>
      </c>
      <c r="DN87" s="152"/>
      <c r="DO87" s="26">
        <v>514028160</v>
      </c>
      <c r="DP87" s="26">
        <v>416427517</v>
      </c>
      <c r="DQ87" s="151">
        <f t="shared" si="31"/>
        <v>0.81012588298664412</v>
      </c>
    </row>
    <row r="88" spans="1:121" ht="39" hidden="1" customHeight="1" x14ac:dyDescent="0.25">
      <c r="A88" s="203"/>
      <c r="B88" s="59" t="s">
        <v>272</v>
      </c>
      <c r="C88" s="53" t="s">
        <v>273</v>
      </c>
      <c r="D88" s="19" t="s">
        <v>274</v>
      </c>
      <c r="E88" s="20">
        <v>301</v>
      </c>
      <c r="F88" s="21" t="s">
        <v>275</v>
      </c>
      <c r="G88" s="22">
        <f t="shared" si="67"/>
        <v>416048971</v>
      </c>
      <c r="H88" s="22">
        <v>20000000</v>
      </c>
      <c r="I88" s="22">
        <v>270000000</v>
      </c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>
        <v>115450000</v>
      </c>
      <c r="U88" s="22"/>
      <c r="V88" s="22"/>
      <c r="W88" s="22"/>
      <c r="X88" s="22"/>
      <c r="Y88" s="22"/>
      <c r="Z88" s="22"/>
      <c r="AA88" s="22">
        <f>3000000+2098971+5500000</f>
        <v>10598971</v>
      </c>
      <c r="AB88" s="23">
        <f t="shared" si="57"/>
        <v>0.86157648975413526</v>
      </c>
      <c r="AC88" s="22">
        <f t="shared" si="68"/>
        <v>358458012</v>
      </c>
      <c r="AD88" s="22">
        <f>+'[1]ENERO 2017'!$J$213</f>
        <v>20000000</v>
      </c>
      <c r="AE88" s="22">
        <f>+'[1]ENERO 2017'!$K$213</f>
        <v>270000000</v>
      </c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>
        <f>+'[6]JULIO 2017'!$V$679</f>
        <v>60958012</v>
      </c>
      <c r="AQ88" s="22"/>
      <c r="AR88" s="22"/>
      <c r="AS88" s="22"/>
      <c r="AT88" s="22"/>
      <c r="AU88" s="22"/>
      <c r="AV88" s="22"/>
      <c r="AW88" s="22">
        <f>+'[5]AGOSTO 2017'!$AC$829</f>
        <v>7500000</v>
      </c>
      <c r="AX88" s="23">
        <f t="shared" si="58"/>
        <v>0.13842351024586474</v>
      </c>
      <c r="AY88" s="22">
        <f t="shared" si="69"/>
        <v>57590959</v>
      </c>
      <c r="AZ88" s="22">
        <f t="shared" si="70"/>
        <v>0</v>
      </c>
      <c r="BA88" s="22">
        <f t="shared" si="70"/>
        <v>0</v>
      </c>
      <c r="BB88" s="22">
        <f t="shared" si="70"/>
        <v>0</v>
      </c>
      <c r="BC88" s="22">
        <f t="shared" si="70"/>
        <v>0</v>
      </c>
      <c r="BD88" s="22">
        <f t="shared" si="70"/>
        <v>0</v>
      </c>
      <c r="BE88" s="22">
        <f t="shared" si="70"/>
        <v>0</v>
      </c>
      <c r="BF88" s="22">
        <f t="shared" si="70"/>
        <v>0</v>
      </c>
      <c r="BG88" s="22">
        <f t="shared" si="70"/>
        <v>0</v>
      </c>
      <c r="BH88" s="22">
        <f t="shared" si="70"/>
        <v>0</v>
      </c>
      <c r="BI88" s="22">
        <f t="shared" si="70"/>
        <v>0</v>
      </c>
      <c r="BJ88" s="22">
        <f t="shared" si="70"/>
        <v>0</v>
      </c>
      <c r="BK88" s="22">
        <f t="shared" si="70"/>
        <v>0</v>
      </c>
      <c r="BL88" s="22">
        <f t="shared" si="70"/>
        <v>54491988</v>
      </c>
      <c r="BM88" s="22">
        <f t="shared" si="70"/>
        <v>0</v>
      </c>
      <c r="BN88" s="22">
        <f t="shared" si="70"/>
        <v>0</v>
      </c>
      <c r="BO88" s="22">
        <f t="shared" si="70"/>
        <v>0</v>
      </c>
      <c r="BP88" s="22">
        <f t="shared" si="71"/>
        <v>0</v>
      </c>
      <c r="BQ88" s="22">
        <f t="shared" si="71"/>
        <v>0</v>
      </c>
      <c r="BR88" s="22">
        <f t="shared" si="71"/>
        <v>0</v>
      </c>
      <c r="BS88" s="22">
        <f t="shared" si="71"/>
        <v>3098971</v>
      </c>
      <c r="BT88" s="23">
        <f t="shared" si="60"/>
        <v>0.85676926478926441</v>
      </c>
      <c r="BU88" s="22">
        <f t="shared" si="72"/>
        <v>356457971</v>
      </c>
      <c r="BV88" s="22">
        <f>+'[2]FEBRERO 2017'!$H$347</f>
        <v>20000000</v>
      </c>
      <c r="BW88" s="22">
        <f>+'[5]AGOSTO 2017'!$H$830+'[5]AGOSTO 2017'!$H$865</f>
        <v>269999999</v>
      </c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>
        <f>+'[5]AGOSTO 2017'!$H$874</f>
        <v>60958012</v>
      </c>
      <c r="CI88" s="22"/>
      <c r="CJ88" s="22"/>
      <c r="CK88" s="22"/>
      <c r="CL88" s="22"/>
      <c r="CM88" s="22"/>
      <c r="CN88" s="22"/>
      <c r="CO88" s="22">
        <f>+'[5]AGOSTO 2017'!$H$827-CH88-BW88-BV88</f>
        <v>5499960</v>
      </c>
      <c r="CP88" s="23">
        <f t="shared" si="52"/>
        <v>0.14323073521073559</v>
      </c>
      <c r="CQ88" s="22">
        <f t="shared" si="73"/>
        <v>59591000</v>
      </c>
      <c r="CR88" s="22">
        <f t="shared" si="76"/>
        <v>0</v>
      </c>
      <c r="CS88" s="22">
        <f t="shared" si="76"/>
        <v>1</v>
      </c>
      <c r="CT88" s="22">
        <f t="shared" si="76"/>
        <v>0</v>
      </c>
      <c r="CU88" s="22">
        <f t="shared" si="76"/>
        <v>0</v>
      </c>
      <c r="CV88" s="22">
        <f t="shared" si="76"/>
        <v>0</v>
      </c>
      <c r="CW88" s="22">
        <f t="shared" si="76"/>
        <v>0</v>
      </c>
      <c r="CX88" s="22">
        <f t="shared" si="76"/>
        <v>0</v>
      </c>
      <c r="CY88" s="22">
        <f t="shared" si="76"/>
        <v>0</v>
      </c>
      <c r="CZ88" s="22">
        <f t="shared" si="76"/>
        <v>0</v>
      </c>
      <c r="DA88" s="22">
        <f t="shared" si="76"/>
        <v>0</v>
      </c>
      <c r="DB88" s="22">
        <f t="shared" si="76"/>
        <v>0</v>
      </c>
      <c r="DC88" s="22">
        <f t="shared" si="76"/>
        <v>0</v>
      </c>
      <c r="DD88" s="22">
        <f t="shared" si="76"/>
        <v>54491988</v>
      </c>
      <c r="DE88" s="22">
        <f t="shared" si="76"/>
        <v>0</v>
      </c>
      <c r="DF88" s="22">
        <f t="shared" si="76"/>
        <v>0</v>
      </c>
      <c r="DG88" s="22">
        <f t="shared" si="76"/>
        <v>0</v>
      </c>
      <c r="DH88" s="22">
        <f t="shared" si="74"/>
        <v>0</v>
      </c>
      <c r="DI88" s="22">
        <f t="shared" si="75"/>
        <v>0</v>
      </c>
      <c r="DJ88" s="22">
        <f t="shared" si="75"/>
        <v>0</v>
      </c>
      <c r="DK88" s="22">
        <f t="shared" si="75"/>
        <v>5099011</v>
      </c>
      <c r="DN88" s="152"/>
      <c r="DO88" s="26">
        <v>416048971</v>
      </c>
      <c r="DP88" s="26">
        <v>356457971</v>
      </c>
      <c r="DQ88" s="151">
        <f t="shared" si="31"/>
        <v>0.85676926478926441</v>
      </c>
    </row>
    <row r="89" spans="1:121" ht="66.75" hidden="1" customHeight="1" x14ac:dyDescent="0.25">
      <c r="A89" s="203"/>
      <c r="B89" s="59" t="s">
        <v>276</v>
      </c>
      <c r="C89" s="53" t="s">
        <v>277</v>
      </c>
      <c r="D89" s="19" t="s">
        <v>278</v>
      </c>
      <c r="E89" s="20">
        <v>301</v>
      </c>
      <c r="F89" s="32" t="s">
        <v>279</v>
      </c>
      <c r="G89" s="22">
        <f t="shared" si="67"/>
        <v>125165225</v>
      </c>
      <c r="H89" s="22">
        <v>880851</v>
      </c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>
        <v>37683184</v>
      </c>
      <c r="X89" s="22"/>
      <c r="Y89" s="22"/>
      <c r="Z89" s="22"/>
      <c r="AA89" s="22">
        <f>33000000+4901190+5000000+5500000+4200000+30000000+4000000</f>
        <v>86601190</v>
      </c>
      <c r="AB89" s="23">
        <f t="shared" si="57"/>
        <v>0.69606480554003713</v>
      </c>
      <c r="AC89" s="22">
        <f t="shared" si="68"/>
        <v>87123108</v>
      </c>
      <c r="AD89" s="22">
        <f>+'[1]ENERO 2017'!$J$220</f>
        <v>880851</v>
      </c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>
        <f>+'[3]JUNIO 2017'!$Y$562</f>
        <v>37683184</v>
      </c>
      <c r="AT89" s="22"/>
      <c r="AU89" s="22"/>
      <c r="AV89" s="22"/>
      <c r="AW89" s="22">
        <f>+'[5]AGOSTO 2017'!$AC$895</f>
        <v>48559073</v>
      </c>
      <c r="AX89" s="23">
        <f t="shared" si="58"/>
        <v>0.30393519445996287</v>
      </c>
      <c r="AY89" s="22">
        <f t="shared" si="69"/>
        <v>38042117</v>
      </c>
      <c r="AZ89" s="22">
        <f t="shared" si="70"/>
        <v>0</v>
      </c>
      <c r="BA89" s="22">
        <f t="shared" si="70"/>
        <v>0</v>
      </c>
      <c r="BB89" s="22">
        <f t="shared" si="70"/>
        <v>0</v>
      </c>
      <c r="BC89" s="22">
        <f t="shared" si="70"/>
        <v>0</v>
      </c>
      <c r="BD89" s="22">
        <f t="shared" si="70"/>
        <v>0</v>
      </c>
      <c r="BE89" s="22">
        <f t="shared" si="70"/>
        <v>0</v>
      </c>
      <c r="BF89" s="22">
        <f t="shared" si="70"/>
        <v>0</v>
      </c>
      <c r="BG89" s="22">
        <f t="shared" si="70"/>
        <v>0</v>
      </c>
      <c r="BH89" s="22">
        <f t="shared" si="70"/>
        <v>0</v>
      </c>
      <c r="BI89" s="22">
        <f t="shared" si="70"/>
        <v>0</v>
      </c>
      <c r="BJ89" s="22">
        <f t="shared" si="70"/>
        <v>0</v>
      </c>
      <c r="BK89" s="22">
        <f t="shared" si="70"/>
        <v>0</v>
      </c>
      <c r="BL89" s="22">
        <f t="shared" si="70"/>
        <v>0</v>
      </c>
      <c r="BM89" s="22">
        <f t="shared" si="70"/>
        <v>0</v>
      </c>
      <c r="BN89" s="22">
        <f t="shared" si="70"/>
        <v>0</v>
      </c>
      <c r="BO89" s="22">
        <f t="shared" si="70"/>
        <v>0</v>
      </c>
      <c r="BP89" s="22">
        <f t="shared" si="71"/>
        <v>0</v>
      </c>
      <c r="BQ89" s="22">
        <f t="shared" si="71"/>
        <v>0</v>
      </c>
      <c r="BR89" s="22">
        <f t="shared" si="71"/>
        <v>0</v>
      </c>
      <c r="BS89" s="22">
        <f t="shared" si="71"/>
        <v>38042117</v>
      </c>
      <c r="BT89" s="23">
        <f t="shared" si="60"/>
        <v>0.6684714783998511</v>
      </c>
      <c r="BU89" s="22">
        <f t="shared" si="72"/>
        <v>83669383</v>
      </c>
      <c r="BV89" s="22">
        <f>+'[3]JUNIO 2017'!$H$566</f>
        <v>852667</v>
      </c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>
        <f>+'[5]AGOSTO 2017'!$H$896+'[5]AGOSTO 2017'!$H$921</f>
        <v>37602333</v>
      </c>
      <c r="CL89" s="22"/>
      <c r="CM89" s="22"/>
      <c r="CN89" s="22"/>
      <c r="CO89" s="22">
        <f>+'[5]AGOSTO 2017'!$H$893-CK89-BV89</f>
        <v>45214383</v>
      </c>
      <c r="CP89" s="23">
        <f t="shared" si="52"/>
        <v>0.3315285216001489</v>
      </c>
      <c r="CQ89" s="22">
        <f t="shared" si="73"/>
        <v>41495842</v>
      </c>
      <c r="CR89" s="22">
        <f t="shared" si="76"/>
        <v>28184</v>
      </c>
      <c r="CS89" s="22">
        <f t="shared" si="76"/>
        <v>0</v>
      </c>
      <c r="CT89" s="22">
        <f t="shared" si="76"/>
        <v>0</v>
      </c>
      <c r="CU89" s="22">
        <f t="shared" si="76"/>
        <v>0</v>
      </c>
      <c r="CV89" s="22">
        <f t="shared" si="76"/>
        <v>0</v>
      </c>
      <c r="CW89" s="22">
        <f t="shared" si="76"/>
        <v>0</v>
      </c>
      <c r="CX89" s="22">
        <f t="shared" si="76"/>
        <v>0</v>
      </c>
      <c r="CY89" s="22">
        <f t="shared" si="76"/>
        <v>0</v>
      </c>
      <c r="CZ89" s="22">
        <f t="shared" si="76"/>
        <v>0</v>
      </c>
      <c r="DA89" s="22">
        <f t="shared" si="76"/>
        <v>0</v>
      </c>
      <c r="DB89" s="22">
        <f t="shared" si="76"/>
        <v>0</v>
      </c>
      <c r="DC89" s="22">
        <f t="shared" si="76"/>
        <v>0</v>
      </c>
      <c r="DD89" s="22">
        <f t="shared" si="76"/>
        <v>0</v>
      </c>
      <c r="DE89" s="22">
        <f t="shared" si="76"/>
        <v>0</v>
      </c>
      <c r="DF89" s="22">
        <f t="shared" si="76"/>
        <v>0</v>
      </c>
      <c r="DG89" s="22">
        <f t="shared" si="76"/>
        <v>80851</v>
      </c>
      <c r="DH89" s="22">
        <f t="shared" si="74"/>
        <v>0</v>
      </c>
      <c r="DI89" s="22">
        <f t="shared" si="75"/>
        <v>0</v>
      </c>
      <c r="DJ89" s="22">
        <f t="shared" si="75"/>
        <v>0</v>
      </c>
      <c r="DK89" s="22">
        <f t="shared" si="75"/>
        <v>41386807</v>
      </c>
      <c r="DN89" s="152"/>
      <c r="DO89" s="26">
        <v>125165225</v>
      </c>
      <c r="DP89" s="26">
        <v>83669383</v>
      </c>
      <c r="DQ89" s="151">
        <f t="shared" ref="DQ89:DQ114" si="77">+BT89</f>
        <v>0.6684714783998511</v>
      </c>
    </row>
    <row r="90" spans="1:121" ht="27.75" hidden="1" customHeight="1" x14ac:dyDescent="0.25">
      <c r="A90" s="203"/>
      <c r="B90" s="191" t="s">
        <v>280</v>
      </c>
      <c r="C90" s="53" t="s">
        <v>281</v>
      </c>
      <c r="D90" s="19" t="s">
        <v>282</v>
      </c>
      <c r="E90" s="20">
        <v>301</v>
      </c>
      <c r="F90" s="21" t="s">
        <v>253</v>
      </c>
      <c r="G90" s="22">
        <f t="shared" si="67"/>
        <v>1459437569</v>
      </c>
      <c r="H90" s="22">
        <f>5000000+6859058</f>
        <v>11859058</v>
      </c>
      <c r="I90" s="22"/>
      <c r="J90" s="22"/>
      <c r="K90" s="22">
        <v>26578511</v>
      </c>
      <c r="L90" s="22"/>
      <c r="M90" s="22"/>
      <c r="N90" s="22"/>
      <c r="O90" s="22"/>
      <c r="P90" s="22"/>
      <c r="Q90" s="22"/>
      <c r="R90" s="22"/>
      <c r="S90" s="22"/>
      <c r="T90" s="22"/>
      <c r="U90" s="22">
        <v>28000000</v>
      </c>
      <c r="V90" s="22"/>
      <c r="W90" s="22">
        <v>1393000000</v>
      </c>
      <c r="X90" s="22"/>
      <c r="Y90" s="22"/>
      <c r="Z90" s="22"/>
      <c r="AA90" s="22"/>
      <c r="AB90" s="23">
        <f t="shared" si="57"/>
        <v>0.9721652279872206</v>
      </c>
      <c r="AC90" s="22">
        <f t="shared" si="68"/>
        <v>1418814457</v>
      </c>
      <c r="AD90" s="22"/>
      <c r="AE90" s="22"/>
      <c r="AF90" s="22"/>
      <c r="AG90" s="22">
        <f>+'[6]JULIO 2017'!$L$772</f>
        <v>18090667</v>
      </c>
      <c r="AH90" s="22"/>
      <c r="AI90" s="22"/>
      <c r="AJ90" s="22"/>
      <c r="AK90" s="22"/>
      <c r="AL90" s="22"/>
      <c r="AM90" s="22"/>
      <c r="AN90" s="22"/>
      <c r="AO90" s="22"/>
      <c r="AP90" s="22"/>
      <c r="AQ90" s="22">
        <f>+'[6]JULIO 2017'!$W$772</f>
        <v>28000000</v>
      </c>
      <c r="AR90" s="22"/>
      <c r="AS90" s="22">
        <f>+'[6]JULIO 2017'!$Y$772</f>
        <v>1372723790</v>
      </c>
      <c r="AT90" s="22"/>
      <c r="AU90" s="22"/>
      <c r="AV90" s="22"/>
      <c r="AW90" s="22"/>
      <c r="AX90" s="23">
        <f t="shared" si="58"/>
        <v>2.7834772012779396E-2</v>
      </c>
      <c r="AY90" s="22">
        <f t="shared" si="69"/>
        <v>40623112</v>
      </c>
      <c r="AZ90" s="22">
        <f t="shared" si="70"/>
        <v>11859058</v>
      </c>
      <c r="BA90" s="22">
        <f t="shared" si="70"/>
        <v>0</v>
      </c>
      <c r="BB90" s="22">
        <f t="shared" si="70"/>
        <v>0</v>
      </c>
      <c r="BC90" s="22">
        <f t="shared" si="70"/>
        <v>8487844</v>
      </c>
      <c r="BD90" s="22">
        <f t="shared" si="70"/>
        <v>0</v>
      </c>
      <c r="BE90" s="22">
        <f t="shared" si="70"/>
        <v>0</v>
      </c>
      <c r="BF90" s="22">
        <f t="shared" si="70"/>
        <v>0</v>
      </c>
      <c r="BG90" s="22">
        <f t="shared" si="70"/>
        <v>0</v>
      </c>
      <c r="BH90" s="22">
        <f t="shared" si="70"/>
        <v>0</v>
      </c>
      <c r="BI90" s="22">
        <f t="shared" si="70"/>
        <v>0</v>
      </c>
      <c r="BJ90" s="22">
        <f t="shared" si="70"/>
        <v>0</v>
      </c>
      <c r="BK90" s="22">
        <f t="shared" si="70"/>
        <v>0</v>
      </c>
      <c r="BL90" s="22">
        <f t="shared" si="70"/>
        <v>0</v>
      </c>
      <c r="BM90" s="22">
        <f t="shared" si="70"/>
        <v>0</v>
      </c>
      <c r="BN90" s="22">
        <f t="shared" si="70"/>
        <v>0</v>
      </c>
      <c r="BO90" s="22">
        <f t="shared" si="70"/>
        <v>20276210</v>
      </c>
      <c r="BP90" s="22">
        <f t="shared" si="71"/>
        <v>0</v>
      </c>
      <c r="BQ90" s="22">
        <f t="shared" si="71"/>
        <v>0</v>
      </c>
      <c r="BR90" s="22">
        <f t="shared" si="71"/>
        <v>0</v>
      </c>
      <c r="BS90" s="22">
        <f t="shared" si="71"/>
        <v>0</v>
      </c>
      <c r="BT90" s="23">
        <f t="shared" si="60"/>
        <v>0.95297975503877141</v>
      </c>
      <c r="BU90" s="22">
        <f t="shared" si="72"/>
        <v>1390814457</v>
      </c>
      <c r="BV90" s="22"/>
      <c r="BW90" s="22"/>
      <c r="BX90" s="22"/>
      <c r="BY90" s="22">
        <f>+'[6]JULIO 2017'!$H$780</f>
        <v>18090667</v>
      </c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>
        <f>+'[6]JULIO 2017'!$H$773+'[6]JULIO 2017'!$H$776+'[6]JULIO 2017'!$H$778</f>
        <v>1372723790</v>
      </c>
      <c r="CL90" s="22"/>
      <c r="CM90" s="22"/>
      <c r="CN90" s="22"/>
      <c r="CO90" s="22"/>
      <c r="CP90" s="23">
        <f t="shared" si="52"/>
        <v>4.7020244961228586E-2</v>
      </c>
      <c r="CQ90" s="22">
        <f t="shared" si="73"/>
        <v>68623112</v>
      </c>
      <c r="CR90" s="22">
        <f t="shared" si="76"/>
        <v>11859058</v>
      </c>
      <c r="CS90" s="22">
        <f t="shared" si="76"/>
        <v>0</v>
      </c>
      <c r="CT90" s="22">
        <f t="shared" si="76"/>
        <v>0</v>
      </c>
      <c r="CU90" s="22">
        <f t="shared" si="76"/>
        <v>8487844</v>
      </c>
      <c r="CV90" s="22">
        <f t="shared" si="76"/>
        <v>0</v>
      </c>
      <c r="CW90" s="22">
        <f t="shared" si="76"/>
        <v>0</v>
      </c>
      <c r="CX90" s="22">
        <f t="shared" si="76"/>
        <v>0</v>
      </c>
      <c r="CY90" s="22">
        <f t="shared" si="76"/>
        <v>0</v>
      </c>
      <c r="CZ90" s="22">
        <f t="shared" si="76"/>
        <v>0</v>
      </c>
      <c r="DA90" s="22">
        <f t="shared" si="76"/>
        <v>0</v>
      </c>
      <c r="DB90" s="22">
        <f t="shared" si="76"/>
        <v>0</v>
      </c>
      <c r="DC90" s="22">
        <f t="shared" si="76"/>
        <v>0</v>
      </c>
      <c r="DD90" s="22">
        <f t="shared" si="76"/>
        <v>0</v>
      </c>
      <c r="DE90" s="22">
        <f t="shared" si="76"/>
        <v>28000000</v>
      </c>
      <c r="DF90" s="22">
        <f t="shared" si="76"/>
        <v>0</v>
      </c>
      <c r="DG90" s="22">
        <f t="shared" si="76"/>
        <v>20276210</v>
      </c>
      <c r="DH90" s="22">
        <f t="shared" si="74"/>
        <v>0</v>
      </c>
      <c r="DI90" s="22">
        <f t="shared" si="75"/>
        <v>0</v>
      </c>
      <c r="DJ90" s="22">
        <f t="shared" si="75"/>
        <v>0</v>
      </c>
      <c r="DK90" s="22">
        <f t="shared" si="75"/>
        <v>0</v>
      </c>
      <c r="DN90" s="152"/>
      <c r="DO90" s="26">
        <v>1459437569</v>
      </c>
      <c r="DP90" s="26">
        <v>1390814457</v>
      </c>
      <c r="DQ90" s="151">
        <f t="shared" si="77"/>
        <v>0.95297975503877141</v>
      </c>
    </row>
    <row r="91" spans="1:121" ht="28.5" hidden="1" customHeight="1" x14ac:dyDescent="0.25">
      <c r="A91" s="203"/>
      <c r="B91" s="189"/>
      <c r="C91" s="53" t="s">
        <v>283</v>
      </c>
      <c r="D91" s="19" t="s">
        <v>284</v>
      </c>
      <c r="E91" s="20">
        <v>301</v>
      </c>
      <c r="F91" s="21" t="s">
        <v>253</v>
      </c>
      <c r="G91" s="22">
        <f t="shared" si="67"/>
        <v>53000000</v>
      </c>
      <c r="H91" s="22"/>
      <c r="I91" s="22">
        <v>30000000</v>
      </c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>
        <v>23000000</v>
      </c>
      <c r="V91" s="22"/>
      <c r="W91" s="22"/>
      <c r="X91" s="22"/>
      <c r="Y91" s="22"/>
      <c r="Z91" s="22"/>
      <c r="AA91" s="22"/>
      <c r="AB91" s="23">
        <f t="shared" si="57"/>
        <v>0.99284666037735847</v>
      </c>
      <c r="AC91" s="22">
        <f t="shared" si="68"/>
        <v>52620873</v>
      </c>
      <c r="AD91" s="22"/>
      <c r="AE91" s="22">
        <f>+'[6]JULIO 2017'!$K$786</f>
        <v>29620873</v>
      </c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>
        <f>+'[6]JULIO 2017'!$W$786</f>
        <v>23000000</v>
      </c>
      <c r="AR91" s="22"/>
      <c r="AS91" s="22"/>
      <c r="AT91" s="22"/>
      <c r="AU91" s="22"/>
      <c r="AV91" s="22"/>
      <c r="AW91" s="22"/>
      <c r="AX91" s="23">
        <f t="shared" si="58"/>
        <v>7.1533396226415302E-3</v>
      </c>
      <c r="AY91" s="22">
        <f t="shared" si="69"/>
        <v>379127</v>
      </c>
      <c r="AZ91" s="22">
        <f t="shared" si="70"/>
        <v>0</v>
      </c>
      <c r="BA91" s="22">
        <f t="shared" si="70"/>
        <v>379127</v>
      </c>
      <c r="BB91" s="22">
        <f t="shared" si="70"/>
        <v>0</v>
      </c>
      <c r="BC91" s="22">
        <f t="shared" si="70"/>
        <v>0</v>
      </c>
      <c r="BD91" s="22">
        <f t="shared" si="70"/>
        <v>0</v>
      </c>
      <c r="BE91" s="22">
        <f t="shared" si="70"/>
        <v>0</v>
      </c>
      <c r="BF91" s="22">
        <f t="shared" si="70"/>
        <v>0</v>
      </c>
      <c r="BG91" s="22">
        <f t="shared" si="70"/>
        <v>0</v>
      </c>
      <c r="BH91" s="22">
        <f t="shared" si="70"/>
        <v>0</v>
      </c>
      <c r="BI91" s="22">
        <f t="shared" si="70"/>
        <v>0</v>
      </c>
      <c r="BJ91" s="22">
        <f t="shared" si="70"/>
        <v>0</v>
      </c>
      <c r="BK91" s="22">
        <f t="shared" si="70"/>
        <v>0</v>
      </c>
      <c r="BL91" s="22">
        <f t="shared" si="70"/>
        <v>0</v>
      </c>
      <c r="BM91" s="22">
        <f t="shared" si="70"/>
        <v>0</v>
      </c>
      <c r="BN91" s="22">
        <f t="shared" si="70"/>
        <v>0</v>
      </c>
      <c r="BO91" s="22">
        <f t="shared" si="70"/>
        <v>0</v>
      </c>
      <c r="BP91" s="22">
        <f t="shared" si="71"/>
        <v>0</v>
      </c>
      <c r="BQ91" s="22">
        <f t="shared" si="71"/>
        <v>0</v>
      </c>
      <c r="BR91" s="22">
        <f t="shared" si="71"/>
        <v>0</v>
      </c>
      <c r="BS91" s="22">
        <f t="shared" si="71"/>
        <v>0</v>
      </c>
      <c r="BT91" s="23">
        <f t="shared" si="60"/>
        <v>0.96505088679245288</v>
      </c>
      <c r="BU91" s="22">
        <f t="shared" si="72"/>
        <v>51147697</v>
      </c>
      <c r="BV91" s="22"/>
      <c r="BW91" s="22">
        <f>+'[6]JULIO 2017'!$H$787</f>
        <v>29595981</v>
      </c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>
        <f>+'[5]AGOSTO 2017'!$H$951</f>
        <v>21551716</v>
      </c>
      <c r="CJ91" s="22"/>
      <c r="CK91" s="22"/>
      <c r="CL91" s="22"/>
      <c r="CM91" s="22"/>
      <c r="CN91" s="22"/>
      <c r="CO91" s="22"/>
      <c r="CP91" s="23">
        <f t="shared" si="52"/>
        <v>3.4949113207547122E-2</v>
      </c>
      <c r="CQ91" s="22">
        <f t="shared" si="73"/>
        <v>1852303</v>
      </c>
      <c r="CR91" s="22">
        <f t="shared" si="76"/>
        <v>0</v>
      </c>
      <c r="CS91" s="22">
        <f t="shared" si="76"/>
        <v>404019</v>
      </c>
      <c r="CT91" s="22">
        <f t="shared" si="76"/>
        <v>0</v>
      </c>
      <c r="CU91" s="22">
        <f t="shared" si="76"/>
        <v>0</v>
      </c>
      <c r="CV91" s="22">
        <f t="shared" si="76"/>
        <v>0</v>
      </c>
      <c r="CW91" s="22">
        <f t="shared" si="76"/>
        <v>0</v>
      </c>
      <c r="CX91" s="22">
        <f t="shared" si="76"/>
        <v>0</v>
      </c>
      <c r="CY91" s="22">
        <f t="shared" si="76"/>
        <v>0</v>
      </c>
      <c r="CZ91" s="22">
        <f t="shared" si="76"/>
        <v>0</v>
      </c>
      <c r="DA91" s="22">
        <f t="shared" si="76"/>
        <v>0</v>
      </c>
      <c r="DB91" s="22">
        <f t="shared" si="76"/>
        <v>0</v>
      </c>
      <c r="DC91" s="22">
        <f t="shared" si="76"/>
        <v>0</v>
      </c>
      <c r="DD91" s="22">
        <f t="shared" si="76"/>
        <v>0</v>
      </c>
      <c r="DE91" s="22">
        <f t="shared" si="76"/>
        <v>1448284</v>
      </c>
      <c r="DF91" s="22">
        <f t="shared" si="76"/>
        <v>0</v>
      </c>
      <c r="DG91" s="22">
        <f t="shared" si="76"/>
        <v>0</v>
      </c>
      <c r="DH91" s="22">
        <f t="shared" si="74"/>
        <v>0</v>
      </c>
      <c r="DI91" s="22">
        <f t="shared" si="75"/>
        <v>0</v>
      </c>
      <c r="DJ91" s="22">
        <f t="shared" si="75"/>
        <v>0</v>
      </c>
      <c r="DK91" s="22">
        <f t="shared" si="75"/>
        <v>0</v>
      </c>
      <c r="DN91" s="152"/>
      <c r="DO91" s="26">
        <v>53000000</v>
      </c>
      <c r="DP91" s="26">
        <v>51147697</v>
      </c>
      <c r="DQ91" s="151">
        <f t="shared" si="77"/>
        <v>0.96505088679245288</v>
      </c>
    </row>
    <row r="92" spans="1:121" ht="24" hidden="1" x14ac:dyDescent="0.25">
      <c r="A92" s="203"/>
      <c r="B92" s="190"/>
      <c r="C92" s="53" t="s">
        <v>285</v>
      </c>
      <c r="D92" s="19" t="s">
        <v>286</v>
      </c>
      <c r="E92" s="82">
        <v>301</v>
      </c>
      <c r="F92" s="21" t="s">
        <v>287</v>
      </c>
      <c r="G92" s="22">
        <f t="shared" si="67"/>
        <v>87213154</v>
      </c>
      <c r="H92" s="22"/>
      <c r="I92" s="22">
        <v>84000000</v>
      </c>
      <c r="J92" s="22"/>
      <c r="K92" s="22"/>
      <c r="L92" s="22"/>
      <c r="M92" s="22"/>
      <c r="N92" s="22"/>
      <c r="O92" s="22"/>
      <c r="P92" s="22"/>
      <c r="Q92" s="22"/>
      <c r="R92" s="22"/>
      <c r="S92" s="22">
        <v>2213154</v>
      </c>
      <c r="T92" s="22"/>
      <c r="U92" s="22"/>
      <c r="V92" s="22"/>
      <c r="W92" s="22"/>
      <c r="X92" s="22"/>
      <c r="Y92" s="22"/>
      <c r="Z92" s="22"/>
      <c r="AA92" s="22">
        <f>1000000</f>
        <v>1000000</v>
      </c>
      <c r="AB92" s="23">
        <f t="shared" si="57"/>
        <v>0.96315746131598456</v>
      </c>
      <c r="AC92" s="22">
        <f t="shared" si="68"/>
        <v>84000000</v>
      </c>
      <c r="AD92" s="22"/>
      <c r="AE92" s="22">
        <f>+'[1]ENERO 2017'!$K$244</f>
        <v>84000000</v>
      </c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3">
        <f t="shared" si="58"/>
        <v>3.6842538684015436E-2</v>
      </c>
      <c r="AY92" s="22">
        <f t="shared" si="69"/>
        <v>3213154</v>
      </c>
      <c r="AZ92" s="22">
        <f t="shared" si="70"/>
        <v>0</v>
      </c>
      <c r="BA92" s="22">
        <f t="shared" si="70"/>
        <v>0</v>
      </c>
      <c r="BB92" s="22">
        <f t="shared" si="70"/>
        <v>0</v>
      </c>
      <c r="BC92" s="22">
        <f t="shared" si="70"/>
        <v>0</v>
      </c>
      <c r="BD92" s="22">
        <f t="shared" si="70"/>
        <v>0</v>
      </c>
      <c r="BE92" s="22">
        <f t="shared" si="70"/>
        <v>0</v>
      </c>
      <c r="BF92" s="22">
        <f t="shared" si="70"/>
        <v>0</v>
      </c>
      <c r="BG92" s="22">
        <f t="shared" si="70"/>
        <v>0</v>
      </c>
      <c r="BH92" s="22">
        <f t="shared" si="70"/>
        <v>0</v>
      </c>
      <c r="BI92" s="22">
        <f t="shared" si="70"/>
        <v>0</v>
      </c>
      <c r="BJ92" s="22">
        <f t="shared" si="70"/>
        <v>0</v>
      </c>
      <c r="BK92" s="22">
        <f t="shared" si="70"/>
        <v>2213154</v>
      </c>
      <c r="BL92" s="22">
        <f t="shared" si="70"/>
        <v>0</v>
      </c>
      <c r="BM92" s="22">
        <f t="shared" si="70"/>
        <v>0</v>
      </c>
      <c r="BN92" s="22">
        <f t="shared" si="70"/>
        <v>0</v>
      </c>
      <c r="BO92" s="22">
        <f t="shared" si="70"/>
        <v>0</v>
      </c>
      <c r="BP92" s="22">
        <f t="shared" si="71"/>
        <v>0</v>
      </c>
      <c r="BQ92" s="22">
        <f t="shared" si="71"/>
        <v>0</v>
      </c>
      <c r="BR92" s="22">
        <f t="shared" si="71"/>
        <v>0</v>
      </c>
      <c r="BS92" s="22">
        <f t="shared" si="71"/>
        <v>1000000</v>
      </c>
      <c r="BT92" s="23">
        <f t="shared" si="60"/>
        <v>0.95048518713128982</v>
      </c>
      <c r="BU92" s="22">
        <f t="shared" si="72"/>
        <v>82894811</v>
      </c>
      <c r="BV92" s="22"/>
      <c r="BW92" s="22">
        <f>+'[5]AGOSTO 2017'!$H$957</f>
        <v>82894811</v>
      </c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3">
        <f t="shared" si="52"/>
        <v>4.9514812868710179E-2</v>
      </c>
      <c r="CQ92" s="22">
        <f t="shared" si="73"/>
        <v>4318343</v>
      </c>
      <c r="CR92" s="22">
        <f t="shared" si="76"/>
        <v>0</v>
      </c>
      <c r="CS92" s="22">
        <f t="shared" si="76"/>
        <v>1105189</v>
      </c>
      <c r="CT92" s="22">
        <f t="shared" si="76"/>
        <v>0</v>
      </c>
      <c r="CU92" s="22">
        <f t="shared" si="76"/>
        <v>0</v>
      </c>
      <c r="CV92" s="22">
        <f t="shared" si="76"/>
        <v>0</v>
      </c>
      <c r="CW92" s="22">
        <f t="shared" si="76"/>
        <v>0</v>
      </c>
      <c r="CX92" s="22">
        <f t="shared" si="76"/>
        <v>0</v>
      </c>
      <c r="CY92" s="22">
        <f t="shared" si="76"/>
        <v>0</v>
      </c>
      <c r="CZ92" s="22">
        <f t="shared" si="76"/>
        <v>0</v>
      </c>
      <c r="DA92" s="22">
        <f t="shared" si="76"/>
        <v>0</v>
      </c>
      <c r="DB92" s="22">
        <f t="shared" si="76"/>
        <v>0</v>
      </c>
      <c r="DC92" s="22">
        <f t="shared" si="76"/>
        <v>2213154</v>
      </c>
      <c r="DD92" s="22">
        <f t="shared" si="76"/>
        <v>0</v>
      </c>
      <c r="DE92" s="22">
        <f t="shared" si="76"/>
        <v>0</v>
      </c>
      <c r="DF92" s="22">
        <f t="shared" si="76"/>
        <v>0</v>
      </c>
      <c r="DG92" s="22">
        <f t="shared" si="76"/>
        <v>0</v>
      </c>
      <c r="DH92" s="22">
        <f t="shared" si="74"/>
        <v>0</v>
      </c>
      <c r="DI92" s="22">
        <f t="shared" si="75"/>
        <v>0</v>
      </c>
      <c r="DJ92" s="22">
        <f t="shared" si="75"/>
        <v>0</v>
      </c>
      <c r="DK92" s="22">
        <f t="shared" si="75"/>
        <v>1000000</v>
      </c>
      <c r="DN92" s="152"/>
      <c r="DO92" s="26">
        <v>87213154</v>
      </c>
      <c r="DP92" s="26">
        <v>82894811</v>
      </c>
      <c r="DQ92" s="151">
        <f t="shared" si="77"/>
        <v>0.95048518713128982</v>
      </c>
    </row>
    <row r="93" spans="1:121" ht="24.95" hidden="1" customHeight="1" x14ac:dyDescent="0.25">
      <c r="A93" s="203"/>
      <c r="B93" s="59" t="s">
        <v>288</v>
      </c>
      <c r="C93" s="53" t="s">
        <v>289</v>
      </c>
      <c r="D93" s="19" t="s">
        <v>290</v>
      </c>
      <c r="E93" s="82">
        <v>301</v>
      </c>
      <c r="F93" s="21" t="s">
        <v>253</v>
      </c>
      <c r="G93" s="22">
        <f t="shared" si="67"/>
        <v>50000000</v>
      </c>
      <c r="H93" s="22"/>
      <c r="I93" s="22"/>
      <c r="J93" s="22">
        <v>50000000</v>
      </c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3">
        <f t="shared" si="57"/>
        <v>1</v>
      </c>
      <c r="AC93" s="22">
        <f t="shared" si="68"/>
        <v>50000000</v>
      </c>
      <c r="AD93" s="22"/>
      <c r="AE93" s="22"/>
      <c r="AF93" s="22">
        <f>+'[1]ENERO 2017'!$L$252</f>
        <v>50000000</v>
      </c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3">
        <f t="shared" si="58"/>
        <v>0</v>
      </c>
      <c r="AY93" s="22">
        <f t="shared" si="69"/>
        <v>0</v>
      </c>
      <c r="AZ93" s="22">
        <f t="shared" si="70"/>
        <v>0</v>
      </c>
      <c r="BA93" s="22">
        <f t="shared" si="70"/>
        <v>0</v>
      </c>
      <c r="BB93" s="22">
        <f t="shared" si="70"/>
        <v>0</v>
      </c>
      <c r="BC93" s="22">
        <f t="shared" si="70"/>
        <v>0</v>
      </c>
      <c r="BD93" s="22">
        <f t="shared" si="70"/>
        <v>0</v>
      </c>
      <c r="BE93" s="22">
        <f t="shared" si="70"/>
        <v>0</v>
      </c>
      <c r="BF93" s="22">
        <f t="shared" si="70"/>
        <v>0</v>
      </c>
      <c r="BG93" s="22">
        <f t="shared" si="70"/>
        <v>0</v>
      </c>
      <c r="BH93" s="22">
        <f t="shared" si="70"/>
        <v>0</v>
      </c>
      <c r="BI93" s="22">
        <f t="shared" si="70"/>
        <v>0</v>
      </c>
      <c r="BJ93" s="22">
        <f t="shared" si="70"/>
        <v>0</v>
      </c>
      <c r="BK93" s="22">
        <f t="shared" si="70"/>
        <v>0</v>
      </c>
      <c r="BL93" s="22">
        <f t="shared" si="70"/>
        <v>0</v>
      </c>
      <c r="BM93" s="22">
        <f t="shared" si="70"/>
        <v>0</v>
      </c>
      <c r="BN93" s="22">
        <f t="shared" si="70"/>
        <v>0</v>
      </c>
      <c r="BO93" s="22">
        <f t="shared" si="71"/>
        <v>0</v>
      </c>
      <c r="BP93" s="22">
        <f t="shared" si="71"/>
        <v>0</v>
      </c>
      <c r="BQ93" s="22">
        <f t="shared" si="71"/>
        <v>0</v>
      </c>
      <c r="BR93" s="22">
        <f t="shared" si="71"/>
        <v>0</v>
      </c>
      <c r="BS93" s="22">
        <f t="shared" si="71"/>
        <v>0</v>
      </c>
      <c r="BT93" s="23">
        <f t="shared" si="60"/>
        <v>0.74447306000000002</v>
      </c>
      <c r="BU93" s="22">
        <f t="shared" si="72"/>
        <v>37223653</v>
      </c>
      <c r="BV93" s="22"/>
      <c r="BW93" s="22"/>
      <c r="BX93" s="22">
        <f>+'[5]AGOSTO 2017'!$H$989</f>
        <v>37223653</v>
      </c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3">
        <f t="shared" si="52"/>
        <v>0.25552693999999998</v>
      </c>
      <c r="CQ93" s="22">
        <f t="shared" si="73"/>
        <v>12776347</v>
      </c>
      <c r="CR93" s="22">
        <f t="shared" si="76"/>
        <v>0</v>
      </c>
      <c r="CS93" s="22">
        <f t="shared" si="76"/>
        <v>0</v>
      </c>
      <c r="CT93" s="22">
        <f t="shared" si="76"/>
        <v>12776347</v>
      </c>
      <c r="CU93" s="22">
        <f t="shared" si="76"/>
        <v>0</v>
      </c>
      <c r="CV93" s="22">
        <f t="shared" si="76"/>
        <v>0</v>
      </c>
      <c r="CW93" s="22">
        <f t="shared" si="76"/>
        <v>0</v>
      </c>
      <c r="CX93" s="22">
        <f t="shared" si="76"/>
        <v>0</v>
      </c>
      <c r="CY93" s="22">
        <f t="shared" si="76"/>
        <v>0</v>
      </c>
      <c r="CZ93" s="22">
        <f t="shared" si="76"/>
        <v>0</v>
      </c>
      <c r="DA93" s="22">
        <f t="shared" si="76"/>
        <v>0</v>
      </c>
      <c r="DB93" s="22">
        <f t="shared" si="76"/>
        <v>0</v>
      </c>
      <c r="DC93" s="22">
        <f t="shared" si="76"/>
        <v>0</v>
      </c>
      <c r="DD93" s="22">
        <f t="shared" si="76"/>
        <v>0</v>
      </c>
      <c r="DE93" s="22">
        <f t="shared" si="76"/>
        <v>0</v>
      </c>
      <c r="DF93" s="22">
        <f t="shared" si="76"/>
        <v>0</v>
      </c>
      <c r="DG93" s="22">
        <f t="shared" si="76"/>
        <v>0</v>
      </c>
      <c r="DH93" s="22">
        <f t="shared" si="74"/>
        <v>0</v>
      </c>
      <c r="DI93" s="22">
        <f t="shared" si="75"/>
        <v>0</v>
      </c>
      <c r="DJ93" s="22">
        <f t="shared" si="75"/>
        <v>0</v>
      </c>
      <c r="DK93" s="22">
        <f t="shared" si="75"/>
        <v>0</v>
      </c>
      <c r="DN93" s="152"/>
      <c r="DO93" s="26">
        <v>50000000</v>
      </c>
      <c r="DP93" s="26">
        <v>37223653</v>
      </c>
      <c r="DQ93" s="151">
        <f t="shared" si="77"/>
        <v>0.74447306000000002</v>
      </c>
    </row>
    <row r="94" spans="1:121" s="47" customFormat="1" ht="21" customHeight="1" thickTop="1" thickBot="1" x14ac:dyDescent="0.3">
      <c r="A94" s="79"/>
      <c r="B94" s="230" t="s">
        <v>374</v>
      </c>
      <c r="C94" s="231"/>
      <c r="D94" s="231"/>
      <c r="E94" s="232"/>
      <c r="F94" s="146"/>
      <c r="G94" s="62">
        <f t="shared" ref="G94:AA94" si="78">SUM(G80:G93)</f>
        <v>3178839833</v>
      </c>
      <c r="H94" s="62">
        <f t="shared" si="78"/>
        <v>277739909</v>
      </c>
      <c r="I94" s="62">
        <f t="shared" si="78"/>
        <v>714000000</v>
      </c>
      <c r="J94" s="62">
        <f t="shared" si="78"/>
        <v>50000000</v>
      </c>
      <c r="K94" s="62">
        <f t="shared" si="78"/>
        <v>26578511</v>
      </c>
      <c r="L94" s="62">
        <f t="shared" si="78"/>
        <v>0</v>
      </c>
      <c r="M94" s="62">
        <f t="shared" si="78"/>
        <v>0</v>
      </c>
      <c r="N94" s="62">
        <f t="shared" si="78"/>
        <v>0</v>
      </c>
      <c r="O94" s="62">
        <f t="shared" si="78"/>
        <v>0</v>
      </c>
      <c r="P94" s="62">
        <f t="shared" si="78"/>
        <v>0</v>
      </c>
      <c r="Q94" s="62">
        <f t="shared" si="78"/>
        <v>0</v>
      </c>
      <c r="R94" s="62">
        <f t="shared" si="78"/>
        <v>0</v>
      </c>
      <c r="S94" s="62">
        <f t="shared" si="78"/>
        <v>2213154</v>
      </c>
      <c r="T94" s="62">
        <f t="shared" si="78"/>
        <v>230450000</v>
      </c>
      <c r="U94" s="62">
        <f t="shared" si="78"/>
        <v>118000000</v>
      </c>
      <c r="V94" s="62">
        <f t="shared" si="78"/>
        <v>80000000</v>
      </c>
      <c r="W94" s="62">
        <f t="shared" si="78"/>
        <v>1570638184</v>
      </c>
      <c r="X94" s="62">
        <f t="shared" si="78"/>
        <v>0</v>
      </c>
      <c r="Y94" s="62">
        <f t="shared" si="78"/>
        <v>0</v>
      </c>
      <c r="Z94" s="62">
        <f t="shared" si="78"/>
        <v>0</v>
      </c>
      <c r="AA94" s="62">
        <f t="shared" si="78"/>
        <v>109220075</v>
      </c>
      <c r="AB94" s="44">
        <f t="shared" si="57"/>
        <v>0.94883593306224934</v>
      </c>
      <c r="AC94" s="62">
        <f t="shared" ref="AC94:AW94" si="79">SUM(AC80:AC93)</f>
        <v>3016197459</v>
      </c>
      <c r="AD94" s="62">
        <f t="shared" si="79"/>
        <v>261659011</v>
      </c>
      <c r="AE94" s="62">
        <f t="shared" si="79"/>
        <v>713620873</v>
      </c>
      <c r="AF94" s="62">
        <f t="shared" si="79"/>
        <v>50000000</v>
      </c>
      <c r="AG94" s="62">
        <f t="shared" si="79"/>
        <v>18090667</v>
      </c>
      <c r="AH94" s="62">
        <f t="shared" si="79"/>
        <v>0</v>
      </c>
      <c r="AI94" s="62">
        <f t="shared" si="79"/>
        <v>0</v>
      </c>
      <c r="AJ94" s="62">
        <f t="shared" si="79"/>
        <v>0</v>
      </c>
      <c r="AK94" s="62">
        <f t="shared" si="79"/>
        <v>0</v>
      </c>
      <c r="AL94" s="62">
        <f t="shared" si="79"/>
        <v>0</v>
      </c>
      <c r="AM94" s="62">
        <f t="shared" si="79"/>
        <v>0</v>
      </c>
      <c r="AN94" s="62">
        <f t="shared" si="79"/>
        <v>0</v>
      </c>
      <c r="AO94" s="62">
        <f t="shared" si="79"/>
        <v>0</v>
      </c>
      <c r="AP94" s="62">
        <f t="shared" si="79"/>
        <v>175958012</v>
      </c>
      <c r="AQ94" s="62">
        <f t="shared" si="79"/>
        <v>118000000</v>
      </c>
      <c r="AR94" s="62">
        <f t="shared" si="79"/>
        <v>80000000</v>
      </c>
      <c r="AS94" s="62">
        <f t="shared" si="79"/>
        <v>1539781663</v>
      </c>
      <c r="AT94" s="62">
        <f t="shared" si="79"/>
        <v>0</v>
      </c>
      <c r="AU94" s="62">
        <f t="shared" si="79"/>
        <v>0</v>
      </c>
      <c r="AV94" s="62">
        <f t="shared" si="79"/>
        <v>0</v>
      </c>
      <c r="AW94" s="62">
        <f t="shared" si="79"/>
        <v>59087233</v>
      </c>
      <c r="AX94" s="44">
        <f t="shared" si="58"/>
        <v>5.1164066937750663E-2</v>
      </c>
      <c r="AY94" s="62">
        <f t="shared" ref="AY94:BS94" si="80">SUM(AY80:AY93)</f>
        <v>162642374</v>
      </c>
      <c r="AZ94" s="62">
        <f t="shared" si="80"/>
        <v>16080898</v>
      </c>
      <c r="BA94" s="62">
        <f t="shared" si="80"/>
        <v>379127</v>
      </c>
      <c r="BB94" s="62">
        <f t="shared" si="80"/>
        <v>0</v>
      </c>
      <c r="BC94" s="62">
        <f t="shared" si="80"/>
        <v>8487844</v>
      </c>
      <c r="BD94" s="62">
        <f t="shared" si="80"/>
        <v>0</v>
      </c>
      <c r="BE94" s="62">
        <f t="shared" si="80"/>
        <v>0</v>
      </c>
      <c r="BF94" s="62">
        <f t="shared" si="80"/>
        <v>0</v>
      </c>
      <c r="BG94" s="62">
        <f t="shared" si="80"/>
        <v>0</v>
      </c>
      <c r="BH94" s="62">
        <f t="shared" si="80"/>
        <v>0</v>
      </c>
      <c r="BI94" s="62">
        <f t="shared" si="80"/>
        <v>0</v>
      </c>
      <c r="BJ94" s="62">
        <f t="shared" si="80"/>
        <v>0</v>
      </c>
      <c r="BK94" s="62">
        <f t="shared" si="80"/>
        <v>2213154</v>
      </c>
      <c r="BL94" s="62">
        <f t="shared" si="80"/>
        <v>54491988</v>
      </c>
      <c r="BM94" s="62">
        <f t="shared" si="80"/>
        <v>0</v>
      </c>
      <c r="BN94" s="62">
        <f t="shared" si="80"/>
        <v>0</v>
      </c>
      <c r="BO94" s="62">
        <f t="shared" si="80"/>
        <v>30856521</v>
      </c>
      <c r="BP94" s="62">
        <f t="shared" si="80"/>
        <v>0</v>
      </c>
      <c r="BQ94" s="62">
        <f t="shared" si="80"/>
        <v>0</v>
      </c>
      <c r="BR94" s="62">
        <f t="shared" si="80"/>
        <v>0</v>
      </c>
      <c r="BS94" s="62">
        <f t="shared" si="80"/>
        <v>50132842</v>
      </c>
      <c r="BT94" s="44">
        <f t="shared" si="60"/>
        <v>0.89375412076636074</v>
      </c>
      <c r="BU94" s="62">
        <f t="shared" ref="BU94:CO94" si="81">SUM(BU80:BU93)</f>
        <v>2841101200</v>
      </c>
      <c r="BV94" s="62">
        <f t="shared" si="81"/>
        <v>236554614</v>
      </c>
      <c r="BW94" s="62">
        <f t="shared" si="81"/>
        <v>711139881</v>
      </c>
      <c r="BX94" s="62">
        <f t="shared" si="81"/>
        <v>37223653</v>
      </c>
      <c r="BY94" s="62">
        <f t="shared" si="81"/>
        <v>18090667</v>
      </c>
      <c r="BZ94" s="62">
        <f t="shared" si="81"/>
        <v>0</v>
      </c>
      <c r="CA94" s="62">
        <f t="shared" si="81"/>
        <v>0</v>
      </c>
      <c r="CB94" s="62">
        <f t="shared" si="81"/>
        <v>0</v>
      </c>
      <c r="CC94" s="62">
        <f t="shared" si="81"/>
        <v>0</v>
      </c>
      <c r="CD94" s="62">
        <f t="shared" si="81"/>
        <v>0</v>
      </c>
      <c r="CE94" s="62">
        <f t="shared" si="81"/>
        <v>0</v>
      </c>
      <c r="CF94" s="62">
        <f t="shared" si="81"/>
        <v>0</v>
      </c>
      <c r="CG94" s="62">
        <f t="shared" si="81"/>
        <v>0</v>
      </c>
      <c r="CH94" s="62">
        <f t="shared" si="81"/>
        <v>171014753</v>
      </c>
      <c r="CI94" s="62">
        <f t="shared" si="81"/>
        <v>70634317</v>
      </c>
      <c r="CJ94" s="62">
        <f t="shared" si="81"/>
        <v>3000000</v>
      </c>
      <c r="CK94" s="62">
        <f t="shared" si="81"/>
        <v>1539700812</v>
      </c>
      <c r="CL94" s="62">
        <f t="shared" si="81"/>
        <v>0</v>
      </c>
      <c r="CM94" s="62">
        <f t="shared" si="81"/>
        <v>0</v>
      </c>
      <c r="CN94" s="62">
        <f t="shared" si="81"/>
        <v>0</v>
      </c>
      <c r="CO94" s="62">
        <f t="shared" si="81"/>
        <v>53742503</v>
      </c>
      <c r="CP94" s="44">
        <f t="shared" si="52"/>
        <v>0.10624587923363926</v>
      </c>
      <c r="CQ94" s="62">
        <f t="shared" ref="CQ94:DK94" si="82">SUM(CQ80:CQ93)</f>
        <v>337738633</v>
      </c>
      <c r="CR94" s="62">
        <f t="shared" si="82"/>
        <v>41185295</v>
      </c>
      <c r="CS94" s="62">
        <f t="shared" si="82"/>
        <v>2860119</v>
      </c>
      <c r="CT94" s="62">
        <f t="shared" si="82"/>
        <v>12776347</v>
      </c>
      <c r="CU94" s="62">
        <f t="shared" si="82"/>
        <v>8487844</v>
      </c>
      <c r="CV94" s="62">
        <f t="shared" si="82"/>
        <v>0</v>
      </c>
      <c r="CW94" s="62">
        <f t="shared" si="82"/>
        <v>0</v>
      </c>
      <c r="CX94" s="62">
        <f t="shared" si="82"/>
        <v>0</v>
      </c>
      <c r="CY94" s="62">
        <f t="shared" si="82"/>
        <v>0</v>
      </c>
      <c r="CZ94" s="62">
        <f t="shared" si="82"/>
        <v>0</v>
      </c>
      <c r="DA94" s="62">
        <f t="shared" si="82"/>
        <v>0</v>
      </c>
      <c r="DB94" s="62">
        <f t="shared" si="82"/>
        <v>0</v>
      </c>
      <c r="DC94" s="62">
        <f t="shared" si="82"/>
        <v>2213154</v>
      </c>
      <c r="DD94" s="62">
        <f t="shared" si="82"/>
        <v>59435247</v>
      </c>
      <c r="DE94" s="62">
        <f t="shared" si="82"/>
        <v>47365683</v>
      </c>
      <c r="DF94" s="62">
        <f t="shared" si="82"/>
        <v>77000000</v>
      </c>
      <c r="DG94" s="62">
        <f t="shared" si="82"/>
        <v>30937372</v>
      </c>
      <c r="DH94" s="62">
        <f t="shared" si="82"/>
        <v>0</v>
      </c>
      <c r="DI94" s="62">
        <f t="shared" si="82"/>
        <v>0</v>
      </c>
      <c r="DJ94" s="62">
        <f t="shared" si="82"/>
        <v>0</v>
      </c>
      <c r="DK94" s="62">
        <f t="shared" si="82"/>
        <v>55477572</v>
      </c>
      <c r="DN94" s="150" t="s">
        <v>381</v>
      </c>
      <c r="DO94" s="26">
        <v>3178839833</v>
      </c>
      <c r="DP94" s="26">
        <v>2841101200</v>
      </c>
      <c r="DQ94" s="151">
        <f t="shared" si="77"/>
        <v>0.89375412076636074</v>
      </c>
    </row>
    <row r="95" spans="1:121" ht="48.75" hidden="1" customHeight="1" thickTop="1" x14ac:dyDescent="0.25">
      <c r="A95" s="207" t="s">
        <v>292</v>
      </c>
      <c r="B95" s="208" t="s">
        <v>293</v>
      </c>
      <c r="C95" s="53" t="s">
        <v>294</v>
      </c>
      <c r="D95" s="19" t="s">
        <v>295</v>
      </c>
      <c r="E95" s="83">
        <v>510</v>
      </c>
      <c r="F95" s="21" t="s">
        <v>296</v>
      </c>
      <c r="G95" s="22">
        <f t="shared" ref="G95:G113" si="83">SUM(H95:AA95)</f>
        <v>1500000</v>
      </c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71"/>
      <c r="S95" s="22"/>
      <c r="T95" s="22"/>
      <c r="U95" s="22"/>
      <c r="V95" s="22"/>
      <c r="W95" s="22"/>
      <c r="X95" s="22"/>
      <c r="Y95" s="22"/>
      <c r="Z95" s="22"/>
      <c r="AA95" s="22">
        <v>1500000</v>
      </c>
      <c r="AB95" s="23">
        <f t="shared" si="57"/>
        <v>0</v>
      </c>
      <c r="AC95" s="22">
        <f t="shared" ref="AC95:AC113" si="84">SUM(AD95:AW95)</f>
        <v>0</v>
      </c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3">
        <f t="shared" si="58"/>
        <v>1</v>
      </c>
      <c r="AY95" s="22">
        <f t="shared" ref="AY95:AY113" si="85">SUM(AZ95:BS95)</f>
        <v>1500000</v>
      </c>
      <c r="AZ95" s="22">
        <f t="shared" ref="AZ95:BO112" si="86">H95-AD95</f>
        <v>0</v>
      </c>
      <c r="BA95" s="22">
        <f t="shared" si="86"/>
        <v>0</v>
      </c>
      <c r="BB95" s="22">
        <f t="shared" si="86"/>
        <v>0</v>
      </c>
      <c r="BC95" s="22">
        <f t="shared" si="86"/>
        <v>0</v>
      </c>
      <c r="BD95" s="22">
        <f t="shared" si="86"/>
        <v>0</v>
      </c>
      <c r="BE95" s="22">
        <f t="shared" si="86"/>
        <v>0</v>
      </c>
      <c r="BF95" s="22">
        <f t="shared" si="86"/>
        <v>0</v>
      </c>
      <c r="BG95" s="22">
        <f t="shared" si="86"/>
        <v>0</v>
      </c>
      <c r="BH95" s="22">
        <f t="shared" si="86"/>
        <v>0</v>
      </c>
      <c r="BI95" s="22">
        <f t="shared" si="86"/>
        <v>0</v>
      </c>
      <c r="BJ95" s="22">
        <f t="shared" si="86"/>
        <v>0</v>
      </c>
      <c r="BK95" s="22">
        <f t="shared" si="86"/>
        <v>0</v>
      </c>
      <c r="BL95" s="22">
        <f t="shared" si="86"/>
        <v>0</v>
      </c>
      <c r="BM95" s="22">
        <f t="shared" si="86"/>
        <v>0</v>
      </c>
      <c r="BN95" s="22">
        <f t="shared" si="86"/>
        <v>0</v>
      </c>
      <c r="BO95" s="22">
        <f t="shared" si="86"/>
        <v>0</v>
      </c>
      <c r="BP95" s="22">
        <f t="shared" ref="BO95:BS113" si="87">X95-AT95</f>
        <v>0</v>
      </c>
      <c r="BQ95" s="22">
        <f t="shared" si="87"/>
        <v>0</v>
      </c>
      <c r="BR95" s="22">
        <f t="shared" si="87"/>
        <v>0</v>
      </c>
      <c r="BS95" s="22">
        <f t="shared" si="87"/>
        <v>1500000</v>
      </c>
      <c r="BT95" s="23">
        <f t="shared" si="60"/>
        <v>0</v>
      </c>
      <c r="BU95" s="22">
        <f t="shared" ref="BU95:BU113" si="88">SUM(BV95:CO95)</f>
        <v>0</v>
      </c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3">
        <f t="shared" si="52"/>
        <v>1</v>
      </c>
      <c r="CQ95" s="22">
        <f t="shared" ref="CQ95:CQ113" si="89">SUM(CR95:DK95)</f>
        <v>1500000</v>
      </c>
      <c r="CR95" s="22">
        <f>H95-BV95</f>
        <v>0</v>
      </c>
      <c r="CS95" s="22">
        <f t="shared" ref="CS95:DH112" si="90">I95-BW95</f>
        <v>0</v>
      </c>
      <c r="CT95" s="22">
        <f t="shared" si="90"/>
        <v>0</v>
      </c>
      <c r="CU95" s="22">
        <f t="shared" si="90"/>
        <v>0</v>
      </c>
      <c r="CV95" s="22">
        <f t="shared" si="90"/>
        <v>0</v>
      </c>
      <c r="CW95" s="22">
        <f t="shared" si="90"/>
        <v>0</v>
      </c>
      <c r="CX95" s="22">
        <f t="shared" si="90"/>
        <v>0</v>
      </c>
      <c r="CY95" s="22">
        <f t="shared" si="90"/>
        <v>0</v>
      </c>
      <c r="CZ95" s="22">
        <f t="shared" si="90"/>
        <v>0</v>
      </c>
      <c r="DA95" s="22">
        <f t="shared" si="90"/>
        <v>0</v>
      </c>
      <c r="DB95" s="22">
        <f>R95-CF95</f>
        <v>0</v>
      </c>
      <c r="DC95" s="22">
        <f t="shared" si="90"/>
        <v>0</v>
      </c>
      <c r="DD95" s="22">
        <f t="shared" si="90"/>
        <v>0</v>
      </c>
      <c r="DE95" s="22">
        <f t="shared" si="90"/>
        <v>0</v>
      </c>
      <c r="DF95" s="22">
        <f t="shared" si="90"/>
        <v>0</v>
      </c>
      <c r="DG95" s="22">
        <f t="shared" si="90"/>
        <v>0</v>
      </c>
      <c r="DH95" s="22">
        <f t="shared" si="90"/>
        <v>0</v>
      </c>
      <c r="DI95" s="22">
        <f t="shared" ref="DI95:DK113" si="91">Y95-CM95</f>
        <v>0</v>
      </c>
      <c r="DJ95" s="22">
        <f t="shared" si="91"/>
        <v>0</v>
      </c>
      <c r="DK95" s="22">
        <f t="shared" si="91"/>
        <v>1500000</v>
      </c>
      <c r="DN95" s="152"/>
      <c r="DO95" s="26">
        <v>1500000</v>
      </c>
      <c r="DP95" s="26">
        <v>0</v>
      </c>
      <c r="DQ95" s="151">
        <f t="shared" si="77"/>
        <v>0</v>
      </c>
    </row>
    <row r="96" spans="1:121" ht="48" hidden="1" x14ac:dyDescent="0.25">
      <c r="A96" s="192"/>
      <c r="B96" s="201"/>
      <c r="C96" s="53" t="s">
        <v>297</v>
      </c>
      <c r="D96" s="19" t="s">
        <v>298</v>
      </c>
      <c r="E96" s="83">
        <v>510</v>
      </c>
      <c r="F96" s="21" t="s">
        <v>299</v>
      </c>
      <c r="G96" s="22">
        <f t="shared" si="83"/>
        <v>1000000</v>
      </c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71"/>
      <c r="S96" s="22"/>
      <c r="T96" s="22"/>
      <c r="U96" s="22"/>
      <c r="V96" s="22">
        <v>1000000</v>
      </c>
      <c r="W96" s="22"/>
      <c r="X96" s="22"/>
      <c r="Y96" s="22"/>
      <c r="Z96" s="22"/>
      <c r="AA96" s="22"/>
      <c r="AB96" s="23">
        <f t="shared" si="57"/>
        <v>0</v>
      </c>
      <c r="AC96" s="22">
        <f t="shared" si="84"/>
        <v>0</v>
      </c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3">
        <f t="shared" si="58"/>
        <v>1</v>
      </c>
      <c r="AY96" s="22">
        <f t="shared" si="85"/>
        <v>1000000</v>
      </c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>
        <f t="shared" si="86"/>
        <v>1000000</v>
      </c>
      <c r="BO96" s="22"/>
      <c r="BP96" s="22"/>
      <c r="BQ96" s="22"/>
      <c r="BR96" s="22"/>
      <c r="BS96" s="22"/>
      <c r="BT96" s="23">
        <f t="shared" si="60"/>
        <v>0</v>
      </c>
      <c r="BU96" s="22">
        <f t="shared" si="88"/>
        <v>0</v>
      </c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3">
        <f t="shared" si="52"/>
        <v>1</v>
      </c>
      <c r="CQ96" s="22">
        <f t="shared" si="89"/>
        <v>1000000</v>
      </c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>
        <f t="shared" si="90"/>
        <v>1000000</v>
      </c>
      <c r="DG96" s="22"/>
      <c r="DH96" s="22"/>
      <c r="DI96" s="22"/>
      <c r="DJ96" s="22"/>
      <c r="DK96" s="22"/>
      <c r="DN96" s="152"/>
      <c r="DO96" s="26">
        <v>1000000</v>
      </c>
      <c r="DP96" s="26">
        <v>0</v>
      </c>
      <c r="DQ96" s="151">
        <f t="shared" si="77"/>
        <v>0</v>
      </c>
    </row>
    <row r="97" spans="1:121" ht="48.75" hidden="1" thickBot="1" x14ac:dyDescent="0.3">
      <c r="A97" s="192"/>
      <c r="B97" s="209"/>
      <c r="C97" s="53" t="s">
        <v>300</v>
      </c>
      <c r="D97" s="19" t="s">
        <v>301</v>
      </c>
      <c r="E97" s="83">
        <v>510</v>
      </c>
      <c r="F97" s="21" t="s">
        <v>299</v>
      </c>
      <c r="G97" s="22">
        <f t="shared" si="83"/>
        <v>2000000</v>
      </c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71"/>
      <c r="S97" s="22"/>
      <c r="T97" s="22"/>
      <c r="U97" s="22"/>
      <c r="V97" s="22">
        <v>2000000</v>
      </c>
      <c r="W97" s="22"/>
      <c r="X97" s="22"/>
      <c r="Y97" s="22"/>
      <c r="Z97" s="22"/>
      <c r="AA97" s="22"/>
      <c r="AB97" s="23">
        <f t="shared" si="57"/>
        <v>0</v>
      </c>
      <c r="AC97" s="22">
        <f t="shared" si="84"/>
        <v>0</v>
      </c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3">
        <f t="shared" si="58"/>
        <v>1</v>
      </c>
      <c r="AY97" s="22">
        <f t="shared" si="85"/>
        <v>2000000</v>
      </c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>
        <f t="shared" si="86"/>
        <v>2000000</v>
      </c>
      <c r="BO97" s="22"/>
      <c r="BP97" s="22"/>
      <c r="BQ97" s="22"/>
      <c r="BR97" s="22"/>
      <c r="BS97" s="22"/>
      <c r="BT97" s="23">
        <f t="shared" si="60"/>
        <v>0</v>
      </c>
      <c r="BU97" s="22">
        <f t="shared" si="88"/>
        <v>0</v>
      </c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3">
        <f t="shared" si="52"/>
        <v>1</v>
      </c>
      <c r="CQ97" s="22">
        <f t="shared" si="89"/>
        <v>2000000</v>
      </c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>
        <f t="shared" si="90"/>
        <v>2000000</v>
      </c>
      <c r="DG97" s="22"/>
      <c r="DH97" s="22"/>
      <c r="DI97" s="22"/>
      <c r="DJ97" s="22"/>
      <c r="DK97" s="22"/>
      <c r="DN97" s="152"/>
      <c r="DO97" s="26">
        <v>2000000</v>
      </c>
      <c r="DP97" s="26">
        <v>0</v>
      </c>
      <c r="DQ97" s="151">
        <f t="shared" si="77"/>
        <v>0</v>
      </c>
    </row>
    <row r="98" spans="1:121" ht="24.75" hidden="1" thickTop="1" x14ac:dyDescent="0.25">
      <c r="A98" s="192"/>
      <c r="B98" s="208" t="s">
        <v>302</v>
      </c>
      <c r="C98" s="53" t="s">
        <v>303</v>
      </c>
      <c r="D98" s="19" t="s">
        <v>304</v>
      </c>
      <c r="E98" s="83">
        <v>111</v>
      </c>
      <c r="F98" s="21" t="s">
        <v>305</v>
      </c>
      <c r="G98" s="22">
        <f t="shared" si="83"/>
        <v>575338316</v>
      </c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>
        <f>250000000</f>
        <v>250000000</v>
      </c>
      <c r="V98" s="22"/>
      <c r="W98" s="22"/>
      <c r="X98" s="22"/>
      <c r="Y98" s="22"/>
      <c r="Z98" s="22"/>
      <c r="AA98" s="22">
        <f>1028515825+153485735-227543349+20880105-250000000-400000000</f>
        <v>325338316</v>
      </c>
      <c r="AB98" s="23">
        <f t="shared" si="57"/>
        <v>0.43452694362181155</v>
      </c>
      <c r="AC98" s="22">
        <f t="shared" ref="AC98" si="92">SUM(AD98:AW98)</f>
        <v>250000000</v>
      </c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>
        <f>+'[6]JULIO 2017'!$W$18</f>
        <v>250000000</v>
      </c>
      <c r="AR98" s="22"/>
      <c r="AS98" s="22"/>
      <c r="AT98" s="22"/>
      <c r="AU98" s="22"/>
      <c r="AV98" s="22"/>
      <c r="AW98" s="22"/>
      <c r="AX98" s="23">
        <f t="shared" si="58"/>
        <v>0.56547305637818845</v>
      </c>
      <c r="AY98" s="22">
        <f t="shared" si="85"/>
        <v>325338316</v>
      </c>
      <c r="AZ98" s="22">
        <f t="shared" si="86"/>
        <v>0</v>
      </c>
      <c r="BA98" s="22">
        <f t="shared" si="86"/>
        <v>0</v>
      </c>
      <c r="BB98" s="22">
        <f t="shared" si="86"/>
        <v>0</v>
      </c>
      <c r="BC98" s="22">
        <f t="shared" si="86"/>
        <v>0</v>
      </c>
      <c r="BD98" s="22">
        <f t="shared" si="86"/>
        <v>0</v>
      </c>
      <c r="BE98" s="22">
        <f t="shared" si="86"/>
        <v>0</v>
      </c>
      <c r="BF98" s="22">
        <f t="shared" si="86"/>
        <v>0</v>
      </c>
      <c r="BG98" s="22">
        <f t="shared" si="86"/>
        <v>0</v>
      </c>
      <c r="BH98" s="22">
        <f t="shared" si="86"/>
        <v>0</v>
      </c>
      <c r="BI98" s="22">
        <f t="shared" si="86"/>
        <v>0</v>
      </c>
      <c r="BJ98" s="22">
        <f t="shared" si="86"/>
        <v>0</v>
      </c>
      <c r="BK98" s="22">
        <f t="shared" si="86"/>
        <v>0</v>
      </c>
      <c r="BL98" s="22">
        <f t="shared" si="86"/>
        <v>0</v>
      </c>
      <c r="BM98" s="22">
        <f t="shared" si="86"/>
        <v>0</v>
      </c>
      <c r="BN98" s="22">
        <f t="shared" si="86"/>
        <v>0</v>
      </c>
      <c r="BO98" s="22">
        <f t="shared" si="86"/>
        <v>0</v>
      </c>
      <c r="BP98" s="22">
        <f t="shared" si="87"/>
        <v>0</v>
      </c>
      <c r="BQ98" s="22">
        <f t="shared" si="87"/>
        <v>0</v>
      </c>
      <c r="BR98" s="22">
        <f t="shared" si="87"/>
        <v>0</v>
      </c>
      <c r="BS98" s="22">
        <f t="shared" si="87"/>
        <v>325338316</v>
      </c>
      <c r="BT98" s="23">
        <f t="shared" si="60"/>
        <v>0.24677328808394539</v>
      </c>
      <c r="BU98" s="22">
        <f t="shared" si="88"/>
        <v>141978128</v>
      </c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>
        <f>+'[5]AGOSTO 2017'!$H$19</f>
        <v>141978128</v>
      </c>
      <c r="CJ98" s="22"/>
      <c r="CK98" s="22"/>
      <c r="CL98" s="22"/>
      <c r="CM98" s="22"/>
      <c r="CN98" s="22"/>
      <c r="CO98" s="22"/>
      <c r="CP98" s="23">
        <f t="shared" si="52"/>
        <v>0.75322671191605461</v>
      </c>
      <c r="CQ98" s="22">
        <f t="shared" si="89"/>
        <v>433360188</v>
      </c>
      <c r="CR98" s="22">
        <f>H98-BV98</f>
        <v>0</v>
      </c>
      <c r="CS98" s="22">
        <f t="shared" si="90"/>
        <v>0</v>
      </c>
      <c r="CT98" s="22">
        <f t="shared" si="90"/>
        <v>0</v>
      </c>
      <c r="CU98" s="22">
        <f t="shared" si="90"/>
        <v>0</v>
      </c>
      <c r="CV98" s="22">
        <f t="shared" si="90"/>
        <v>0</v>
      </c>
      <c r="CW98" s="22">
        <f t="shared" si="90"/>
        <v>0</v>
      </c>
      <c r="CX98" s="22">
        <f t="shared" si="90"/>
        <v>0</v>
      </c>
      <c r="CY98" s="22">
        <f t="shared" si="90"/>
        <v>0</v>
      </c>
      <c r="CZ98" s="22">
        <f t="shared" si="90"/>
        <v>0</v>
      </c>
      <c r="DA98" s="22">
        <f t="shared" si="90"/>
        <v>0</v>
      </c>
      <c r="DB98" s="22">
        <f t="shared" si="90"/>
        <v>0</v>
      </c>
      <c r="DC98" s="22">
        <f t="shared" si="90"/>
        <v>0</v>
      </c>
      <c r="DD98" s="22">
        <f t="shared" si="90"/>
        <v>0</v>
      </c>
      <c r="DE98" s="22">
        <f t="shared" si="90"/>
        <v>108021872</v>
      </c>
      <c r="DF98" s="22">
        <f t="shared" si="90"/>
        <v>0</v>
      </c>
      <c r="DG98" s="22">
        <f t="shared" si="90"/>
        <v>0</v>
      </c>
      <c r="DH98" s="22">
        <f t="shared" si="90"/>
        <v>0</v>
      </c>
      <c r="DI98" s="22">
        <f t="shared" si="91"/>
        <v>0</v>
      </c>
      <c r="DJ98" s="22">
        <f t="shared" si="91"/>
        <v>0</v>
      </c>
      <c r="DK98" s="22">
        <f t="shared" si="91"/>
        <v>325338316</v>
      </c>
      <c r="DN98" s="152"/>
      <c r="DO98" s="26">
        <v>575338316</v>
      </c>
      <c r="DP98" s="26">
        <v>141978128</v>
      </c>
      <c r="DQ98" s="151">
        <f t="shared" si="77"/>
        <v>0.24677328808394539</v>
      </c>
    </row>
    <row r="99" spans="1:121" s="73" customFormat="1" ht="78" hidden="1" customHeight="1" x14ac:dyDescent="0.25">
      <c r="A99" s="192"/>
      <c r="B99" s="202"/>
      <c r="C99" s="84" t="s">
        <v>306</v>
      </c>
      <c r="D99" s="19" t="s">
        <v>307</v>
      </c>
      <c r="E99" s="82">
        <v>111</v>
      </c>
      <c r="F99" s="21" t="s">
        <v>308</v>
      </c>
      <c r="G99" s="22">
        <f t="shared" si="83"/>
        <v>1683063108</v>
      </c>
      <c r="H99" s="22">
        <v>181434097</v>
      </c>
      <c r="I99" s="22"/>
      <c r="J99" s="22">
        <v>100000000</v>
      </c>
      <c r="K99" s="22">
        <v>665649946</v>
      </c>
      <c r="L99" s="22"/>
      <c r="M99" s="22"/>
      <c r="N99" s="22">
        <v>12004716</v>
      </c>
      <c r="O99" s="22">
        <v>6840985</v>
      </c>
      <c r="P99" s="22">
        <v>30665828</v>
      </c>
      <c r="Q99" s="22"/>
      <c r="R99" s="22"/>
      <c r="S99" s="22"/>
      <c r="T99" s="22">
        <v>100000000</v>
      </c>
      <c r="U99" s="22">
        <v>82000000</v>
      </c>
      <c r="V99" s="22">
        <f>100000000+100000000</f>
        <v>200000000</v>
      </c>
      <c r="W99" s="22"/>
      <c r="X99" s="22"/>
      <c r="Y99" s="22"/>
      <c r="Z99" s="22"/>
      <c r="AA99" s="22">
        <f>31441728+4000000+3000000+227543349+8000000+30482459</f>
        <v>304467536</v>
      </c>
      <c r="AB99" s="72">
        <f t="shared" si="57"/>
        <v>0.89686340923587049</v>
      </c>
      <c r="AC99" s="22">
        <f t="shared" si="84"/>
        <v>1509477717</v>
      </c>
      <c r="AD99" s="71">
        <f>+'[5]AGOSTO 2017'!$J$25</f>
        <v>181434097</v>
      </c>
      <c r="AE99" s="71"/>
      <c r="AF99" s="22">
        <f>+'[5]AGOSTO 2017'!$L$25-AG99</f>
        <v>35881866</v>
      </c>
      <c r="AG99" s="22">
        <f>+'[5]AGOSTO 2017'!$H$26+'[5]AGOSTO 2017'!$H$34+'[5]AGOSTO 2017'!$G$68</f>
        <v>626897592</v>
      </c>
      <c r="AH99" s="71"/>
      <c r="AI99" s="71"/>
      <c r="AJ99" s="71">
        <f>+'[3]JUNIO 2017'!$O$23</f>
        <v>12004716</v>
      </c>
      <c r="AK99" s="71">
        <f>+'[3]JUNIO 2017'!$P$23</f>
        <v>6840985</v>
      </c>
      <c r="AL99" s="71">
        <f>+'[3]JUNIO 2017'!$Q$23</f>
        <v>30665828</v>
      </c>
      <c r="AM99" s="71"/>
      <c r="AN99" s="71"/>
      <c r="AO99" s="71"/>
      <c r="AP99" s="71">
        <f>+'[3]JUNIO 2017'!$V$23</f>
        <v>100000000</v>
      </c>
      <c r="AQ99" s="71">
        <f>+'[5]AGOSTO 2017'!$W$25</f>
        <v>40000000</v>
      </c>
      <c r="AR99" s="71">
        <f>+'[5]AGOSTO 2017'!$X$25</f>
        <v>189069282</v>
      </c>
      <c r="AS99" s="71"/>
      <c r="AT99" s="71"/>
      <c r="AU99" s="71"/>
      <c r="AV99" s="71"/>
      <c r="AW99" s="71">
        <f>+'[5]AGOSTO 2017'!$AC$25</f>
        <v>286683351</v>
      </c>
      <c r="AX99" s="72">
        <f t="shared" si="58"/>
        <v>0.10313659076412951</v>
      </c>
      <c r="AY99" s="22">
        <f t="shared" si="85"/>
        <v>173585391</v>
      </c>
      <c r="AZ99" s="22">
        <f t="shared" si="86"/>
        <v>0</v>
      </c>
      <c r="BA99" s="22">
        <f t="shared" si="86"/>
        <v>0</v>
      </c>
      <c r="BB99" s="22">
        <f t="shared" si="86"/>
        <v>64118134</v>
      </c>
      <c r="BC99" s="22">
        <f t="shared" si="86"/>
        <v>38752354</v>
      </c>
      <c r="BD99" s="22">
        <f t="shared" si="86"/>
        <v>0</v>
      </c>
      <c r="BE99" s="22">
        <f t="shared" si="86"/>
        <v>0</v>
      </c>
      <c r="BF99" s="22">
        <f t="shared" si="86"/>
        <v>0</v>
      </c>
      <c r="BG99" s="22">
        <f t="shared" si="86"/>
        <v>0</v>
      </c>
      <c r="BH99" s="22">
        <f t="shared" si="86"/>
        <v>0</v>
      </c>
      <c r="BI99" s="22">
        <f t="shared" si="86"/>
        <v>0</v>
      </c>
      <c r="BJ99" s="22">
        <f t="shared" si="86"/>
        <v>0</v>
      </c>
      <c r="BK99" s="22">
        <f t="shared" si="86"/>
        <v>0</v>
      </c>
      <c r="BL99" s="22">
        <f t="shared" si="86"/>
        <v>0</v>
      </c>
      <c r="BM99" s="22">
        <f t="shared" si="86"/>
        <v>42000000</v>
      </c>
      <c r="BN99" s="22">
        <f t="shared" si="86"/>
        <v>10930718</v>
      </c>
      <c r="BO99" s="22">
        <f t="shared" si="86"/>
        <v>0</v>
      </c>
      <c r="BP99" s="22">
        <f t="shared" si="87"/>
        <v>0</v>
      </c>
      <c r="BQ99" s="22">
        <f t="shared" si="87"/>
        <v>0</v>
      </c>
      <c r="BR99" s="22">
        <f t="shared" si="87"/>
        <v>0</v>
      </c>
      <c r="BS99" s="22">
        <f t="shared" si="87"/>
        <v>17784185</v>
      </c>
      <c r="BT99" s="72">
        <f t="shared" si="60"/>
        <v>0.42777465775216789</v>
      </c>
      <c r="BU99" s="22">
        <f t="shared" si="88"/>
        <v>719971745</v>
      </c>
      <c r="BV99" s="71"/>
      <c r="BW99" s="71"/>
      <c r="BX99" s="71">
        <f>+'[5]AGOSTO 2017'!$H$32+'[5]AGOSTO 2017'!$H$56+'[5]AGOSTO 2017'!$H$69</f>
        <v>23731866</v>
      </c>
      <c r="BY99" s="71">
        <f>+'[5]AGOSTO 2017'!$H$26+'[5]AGOSTO 2017'!$H$34</f>
        <v>74160140</v>
      </c>
      <c r="BZ99" s="71"/>
      <c r="CA99" s="71"/>
      <c r="CB99" s="71">
        <f>+'[6]JULIO 2017'!$H$56</f>
        <v>12004716</v>
      </c>
      <c r="CC99" s="71">
        <f>+'[6]JULIO 2017'!$H$57</f>
        <v>6840985</v>
      </c>
      <c r="CD99" s="71">
        <f>+'[6]JULIO 2017'!$H$59</f>
        <v>30665828</v>
      </c>
      <c r="CE99" s="71"/>
      <c r="CF99" s="71"/>
      <c r="CG99" s="71"/>
      <c r="CH99" s="71">
        <f>+'[5]AGOSTO 2017'!$H$43+'[5]AGOSTO 2017'!$H$45+'[5]AGOSTO 2017'!$H$64</f>
        <v>100000000</v>
      </c>
      <c r="CI99" s="71"/>
      <c r="CJ99" s="71">
        <f>+'[5]AGOSTO 2017'!$H$28+'[5]AGOSTO 2017'!$H$30+'[5]AGOSTO 2017'!$H$66+'[5]AGOSTO 2017'!$H$71+'[5]AGOSTO 2017'!$H$73</f>
        <v>189069282</v>
      </c>
      <c r="CK99" s="71"/>
      <c r="CL99" s="71"/>
      <c r="CM99" s="71"/>
      <c r="CN99" s="71"/>
      <c r="CO99" s="71">
        <f>+'[5]AGOSTO 2017'!$H$36+'[5]AGOSTO 2017'!$H$38+'[5]AGOSTO 2017'!$H$40+'[5]AGOSTO 2017'!$H$47+'[5]AGOSTO 2017'!$H$49+'[5]AGOSTO 2017'!$H$51+'[5]AGOSTO 2017'!$H$75+'[5]AGOSTO 2017'!$H$78+'[5]AGOSTO 2017'!$H$80+'[5]AGOSTO 2017'!$H$82+'[5]AGOSTO 2017'!$H$86</f>
        <v>283498928</v>
      </c>
      <c r="CP99" s="72">
        <f t="shared" si="52"/>
        <v>0.57222534224783206</v>
      </c>
      <c r="CQ99" s="22">
        <f t="shared" si="89"/>
        <v>963091363</v>
      </c>
      <c r="CR99" s="22">
        <f t="shared" ref="CR99:CR113" si="93">H99-BV99</f>
        <v>181434097</v>
      </c>
      <c r="CS99" s="22">
        <f t="shared" si="90"/>
        <v>0</v>
      </c>
      <c r="CT99" s="22">
        <f t="shared" si="90"/>
        <v>76268134</v>
      </c>
      <c r="CU99" s="22">
        <f t="shared" si="90"/>
        <v>591489806</v>
      </c>
      <c r="CV99" s="22">
        <f t="shared" si="90"/>
        <v>0</v>
      </c>
      <c r="CW99" s="22">
        <f t="shared" si="90"/>
        <v>0</v>
      </c>
      <c r="CX99" s="22">
        <f t="shared" si="90"/>
        <v>0</v>
      </c>
      <c r="CY99" s="22">
        <f t="shared" si="90"/>
        <v>0</v>
      </c>
      <c r="CZ99" s="22">
        <f t="shared" si="90"/>
        <v>0</v>
      </c>
      <c r="DA99" s="22">
        <f t="shared" si="90"/>
        <v>0</v>
      </c>
      <c r="DB99" s="22">
        <f t="shared" si="90"/>
        <v>0</v>
      </c>
      <c r="DC99" s="22">
        <f t="shared" si="90"/>
        <v>0</v>
      </c>
      <c r="DD99" s="22">
        <f t="shared" si="90"/>
        <v>0</v>
      </c>
      <c r="DE99" s="22">
        <f t="shared" si="90"/>
        <v>82000000</v>
      </c>
      <c r="DF99" s="22">
        <f t="shared" si="90"/>
        <v>10930718</v>
      </c>
      <c r="DG99" s="22">
        <f t="shared" si="90"/>
        <v>0</v>
      </c>
      <c r="DH99" s="22">
        <f t="shared" si="90"/>
        <v>0</v>
      </c>
      <c r="DI99" s="22">
        <f t="shared" si="91"/>
        <v>0</v>
      </c>
      <c r="DJ99" s="22">
        <f t="shared" si="91"/>
        <v>0</v>
      </c>
      <c r="DK99" s="22">
        <f t="shared" si="91"/>
        <v>20968608</v>
      </c>
      <c r="DN99" s="153"/>
      <c r="DO99" s="26">
        <v>1683063108</v>
      </c>
      <c r="DP99" s="26">
        <v>719971745</v>
      </c>
      <c r="DQ99" s="151">
        <f t="shared" si="77"/>
        <v>0.42777465775216789</v>
      </c>
    </row>
    <row r="100" spans="1:121" ht="30" hidden="1" x14ac:dyDescent="0.25">
      <c r="A100" s="192"/>
      <c r="B100" s="191" t="s">
        <v>309</v>
      </c>
      <c r="C100" s="53" t="s">
        <v>310</v>
      </c>
      <c r="D100" s="19" t="s">
        <v>311</v>
      </c>
      <c r="E100" s="83">
        <v>211</v>
      </c>
      <c r="F100" s="21" t="s">
        <v>312</v>
      </c>
      <c r="G100" s="22">
        <f t="shared" si="83"/>
        <v>1625954405</v>
      </c>
      <c r="H100" s="22"/>
      <c r="I100" s="22"/>
      <c r="J100" s="22">
        <f>300000000+94648167</f>
        <v>394648167</v>
      </c>
      <c r="K100" s="22">
        <v>815752314</v>
      </c>
      <c r="L100" s="22">
        <v>80883013</v>
      </c>
      <c r="M100" s="22"/>
      <c r="N100" s="22"/>
      <c r="O100" s="22"/>
      <c r="P100" s="22"/>
      <c r="Q100" s="22">
        <v>1940856</v>
      </c>
      <c r="R100" s="22">
        <v>135153822</v>
      </c>
      <c r="S100" s="22"/>
      <c r="T100" s="22"/>
      <c r="U100" s="22">
        <v>20224400</v>
      </c>
      <c r="V100" s="22">
        <f>175000000-94648167</f>
        <v>80351833</v>
      </c>
      <c r="W100" s="22"/>
      <c r="X100" s="22"/>
      <c r="Y100" s="22"/>
      <c r="Z100" s="22"/>
      <c r="AA100" s="22">
        <f>14000000+43000000+40000000</f>
        <v>97000000</v>
      </c>
      <c r="AB100" s="23">
        <f t="shared" si="57"/>
        <v>0.81359849447930865</v>
      </c>
      <c r="AC100" s="22">
        <f t="shared" si="84"/>
        <v>1322874056</v>
      </c>
      <c r="AD100" s="22"/>
      <c r="AE100" s="22"/>
      <c r="AF100" s="22">
        <f>+'[5]AGOSTO 2017'!$L$101-AG100</f>
        <v>216860507</v>
      </c>
      <c r="AG100" s="22">
        <v>815752314</v>
      </c>
      <c r="AH100" s="22">
        <f>+'[6]JULIO 2017'!$M$83</f>
        <v>80883013</v>
      </c>
      <c r="AI100" s="22"/>
      <c r="AJ100" s="22"/>
      <c r="AK100" s="22"/>
      <c r="AL100" s="22"/>
      <c r="AM100" s="22"/>
      <c r="AN100" s="22">
        <f>+'[6]JULIO 2017'!$T$83</f>
        <v>135153822</v>
      </c>
      <c r="AO100" s="22"/>
      <c r="AP100" s="22"/>
      <c r="AQ100" s="22">
        <f>+'[5]AGOSTO 2017'!$W$101</f>
        <v>20224400</v>
      </c>
      <c r="AR100" s="22"/>
      <c r="AS100" s="22"/>
      <c r="AT100" s="22"/>
      <c r="AU100" s="22"/>
      <c r="AV100" s="22"/>
      <c r="AW100" s="22">
        <f>+'[5]AGOSTO 2017'!$AC$101</f>
        <v>54000000</v>
      </c>
      <c r="AX100" s="23">
        <f t="shared" si="58"/>
        <v>0.18640150552069135</v>
      </c>
      <c r="AY100" s="22">
        <f t="shared" si="85"/>
        <v>303080349</v>
      </c>
      <c r="AZ100" s="22">
        <f t="shared" si="86"/>
        <v>0</v>
      </c>
      <c r="BA100" s="22">
        <f t="shared" si="86"/>
        <v>0</v>
      </c>
      <c r="BB100" s="22">
        <f t="shared" si="86"/>
        <v>177787660</v>
      </c>
      <c r="BC100" s="22">
        <f t="shared" si="86"/>
        <v>0</v>
      </c>
      <c r="BD100" s="22">
        <f t="shared" si="86"/>
        <v>0</v>
      </c>
      <c r="BE100" s="22">
        <f t="shared" si="86"/>
        <v>0</v>
      </c>
      <c r="BF100" s="22">
        <f t="shared" si="86"/>
        <v>0</v>
      </c>
      <c r="BG100" s="22">
        <f t="shared" si="86"/>
        <v>0</v>
      </c>
      <c r="BH100" s="22">
        <f t="shared" si="86"/>
        <v>0</v>
      </c>
      <c r="BI100" s="22">
        <f t="shared" si="86"/>
        <v>1940856</v>
      </c>
      <c r="BJ100" s="22">
        <f t="shared" si="86"/>
        <v>0</v>
      </c>
      <c r="BK100" s="22">
        <f t="shared" si="86"/>
        <v>0</v>
      </c>
      <c r="BL100" s="22">
        <f t="shared" si="86"/>
        <v>0</v>
      </c>
      <c r="BM100" s="22">
        <f t="shared" si="86"/>
        <v>0</v>
      </c>
      <c r="BN100" s="22">
        <f t="shared" si="86"/>
        <v>80351833</v>
      </c>
      <c r="BO100" s="22">
        <f t="shared" si="86"/>
        <v>0</v>
      </c>
      <c r="BP100" s="22">
        <f t="shared" si="87"/>
        <v>0</v>
      </c>
      <c r="BQ100" s="22">
        <f t="shared" si="87"/>
        <v>0</v>
      </c>
      <c r="BR100" s="22">
        <f t="shared" si="87"/>
        <v>0</v>
      </c>
      <c r="BS100" s="22">
        <f t="shared" si="87"/>
        <v>43000000</v>
      </c>
      <c r="BT100" s="23">
        <f t="shared" si="60"/>
        <v>0.45441030740342314</v>
      </c>
      <c r="BU100" s="22">
        <f t="shared" si="88"/>
        <v>738850441</v>
      </c>
      <c r="BV100" s="22"/>
      <c r="BW100" s="22"/>
      <c r="BX100" s="22">
        <v>23102199</v>
      </c>
      <c r="BY100" s="22">
        <f>+'[5]AGOSTO 2017'!$H$102+'[5]AGOSTO 2017'!$H$104+'[5]AGOSTO 2017'!$H$108+'[5]AGOSTO 2017'!$H$116</f>
        <v>697857678</v>
      </c>
      <c r="BZ100" s="22">
        <f>+'[3]JUNIO 2017'!$H$75</f>
        <v>7736670</v>
      </c>
      <c r="CA100" s="22"/>
      <c r="CB100" s="22"/>
      <c r="CC100" s="22"/>
      <c r="CD100" s="22"/>
      <c r="CE100" s="22"/>
      <c r="CF100" s="22">
        <f>+'[5]AGOSTO 2017'!$H$114</f>
        <v>10153894</v>
      </c>
      <c r="CG100" s="22"/>
      <c r="CH100" s="22"/>
      <c r="CI100" s="22"/>
      <c r="CJ100" s="22"/>
      <c r="CK100" s="22"/>
      <c r="CL100" s="22"/>
      <c r="CM100" s="22"/>
      <c r="CN100" s="22"/>
      <c r="CO100" s="22"/>
      <c r="CP100" s="23">
        <f t="shared" si="52"/>
        <v>0.54558969259657686</v>
      </c>
      <c r="CQ100" s="22">
        <f t="shared" si="89"/>
        <v>887103964</v>
      </c>
      <c r="CR100" s="22">
        <f t="shared" si="93"/>
        <v>0</v>
      </c>
      <c r="CS100" s="22">
        <f t="shared" si="90"/>
        <v>0</v>
      </c>
      <c r="CT100" s="22">
        <f t="shared" si="90"/>
        <v>371545968</v>
      </c>
      <c r="CU100" s="22">
        <f t="shared" si="90"/>
        <v>117894636</v>
      </c>
      <c r="CV100" s="22">
        <f t="shared" si="90"/>
        <v>73146343</v>
      </c>
      <c r="CW100" s="22">
        <f t="shared" si="90"/>
        <v>0</v>
      </c>
      <c r="CX100" s="22">
        <f t="shared" si="90"/>
        <v>0</v>
      </c>
      <c r="CY100" s="22">
        <f t="shared" si="90"/>
        <v>0</v>
      </c>
      <c r="CZ100" s="22">
        <f t="shared" si="90"/>
        <v>0</v>
      </c>
      <c r="DA100" s="22">
        <f t="shared" si="90"/>
        <v>1940856</v>
      </c>
      <c r="DB100" s="22">
        <f t="shared" si="90"/>
        <v>124999928</v>
      </c>
      <c r="DC100" s="22">
        <f t="shared" si="90"/>
        <v>0</v>
      </c>
      <c r="DD100" s="22">
        <f t="shared" si="90"/>
        <v>0</v>
      </c>
      <c r="DE100" s="22">
        <f t="shared" si="90"/>
        <v>20224400</v>
      </c>
      <c r="DF100" s="22">
        <f t="shared" si="90"/>
        <v>80351833</v>
      </c>
      <c r="DG100" s="22">
        <f t="shared" si="90"/>
        <v>0</v>
      </c>
      <c r="DH100" s="22">
        <f t="shared" si="90"/>
        <v>0</v>
      </c>
      <c r="DI100" s="22">
        <f t="shared" si="91"/>
        <v>0</v>
      </c>
      <c r="DJ100" s="22">
        <f t="shared" si="91"/>
        <v>0</v>
      </c>
      <c r="DK100" s="22">
        <f t="shared" si="91"/>
        <v>97000000</v>
      </c>
      <c r="DN100" s="152"/>
      <c r="DO100" s="26">
        <v>1625954405</v>
      </c>
      <c r="DP100" s="26">
        <v>738850441</v>
      </c>
      <c r="DQ100" s="151">
        <f t="shared" si="77"/>
        <v>0.45441030740342314</v>
      </c>
    </row>
    <row r="101" spans="1:121" ht="91.5" hidden="1" customHeight="1" x14ac:dyDescent="0.25">
      <c r="A101" s="192"/>
      <c r="B101" s="189"/>
      <c r="C101" s="53" t="s">
        <v>313</v>
      </c>
      <c r="D101" s="66" t="s">
        <v>314</v>
      </c>
      <c r="E101" s="83">
        <v>211</v>
      </c>
      <c r="F101" s="21" t="s">
        <v>315</v>
      </c>
      <c r="G101" s="22">
        <f t="shared" si="83"/>
        <v>821004004</v>
      </c>
      <c r="H101" s="22"/>
      <c r="I101" s="22"/>
      <c r="J101" s="22">
        <v>300000000</v>
      </c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>
        <v>100000000</v>
      </c>
      <c r="V101" s="22">
        <f>157081606+74911804</f>
        <v>231993410</v>
      </c>
      <c r="W101" s="22"/>
      <c r="X101" s="22"/>
      <c r="Y101" s="22"/>
      <c r="Z101" s="22"/>
      <c r="AA101" s="22">
        <f>55787227+16338076+3095452+24000000+40000000+20428057+9361782+10000000+8000000+2000000</f>
        <v>189010594</v>
      </c>
      <c r="AB101" s="23">
        <f t="shared" si="57"/>
        <v>0.94448164226005404</v>
      </c>
      <c r="AC101" s="22">
        <f t="shared" si="84"/>
        <v>775423210</v>
      </c>
      <c r="AD101" s="22"/>
      <c r="AE101" s="22"/>
      <c r="AF101" s="22">
        <f>+'[6]JULIO 2017'!$L$107</f>
        <v>300000000</v>
      </c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>
        <f>+'[6]JULIO 2017'!$W$107</f>
        <v>100000000</v>
      </c>
      <c r="AR101" s="22">
        <f>+'[5]AGOSTO 2017'!$X$132</f>
        <v>228875610</v>
      </c>
      <c r="AS101" s="22"/>
      <c r="AT101" s="22"/>
      <c r="AU101" s="22"/>
      <c r="AV101" s="22"/>
      <c r="AW101" s="22">
        <f>+'[5]AGOSTO 2017'!$AC$132</f>
        <v>146547600</v>
      </c>
      <c r="AX101" s="23">
        <f t="shared" si="58"/>
        <v>5.5518357739945956E-2</v>
      </c>
      <c r="AY101" s="22">
        <f t="shared" si="85"/>
        <v>45580794</v>
      </c>
      <c r="AZ101" s="22">
        <f t="shared" si="86"/>
        <v>0</v>
      </c>
      <c r="BA101" s="22">
        <f t="shared" si="86"/>
        <v>0</v>
      </c>
      <c r="BB101" s="22">
        <f t="shared" si="86"/>
        <v>0</v>
      </c>
      <c r="BC101" s="22">
        <f t="shared" si="86"/>
        <v>0</v>
      </c>
      <c r="BD101" s="22">
        <f t="shared" si="86"/>
        <v>0</v>
      </c>
      <c r="BE101" s="22">
        <f t="shared" si="86"/>
        <v>0</v>
      </c>
      <c r="BF101" s="22">
        <f t="shared" si="86"/>
        <v>0</v>
      </c>
      <c r="BG101" s="22">
        <f t="shared" si="86"/>
        <v>0</v>
      </c>
      <c r="BH101" s="22">
        <f t="shared" si="86"/>
        <v>0</v>
      </c>
      <c r="BI101" s="22">
        <f t="shared" si="86"/>
        <v>0</v>
      </c>
      <c r="BJ101" s="22">
        <f t="shared" si="86"/>
        <v>0</v>
      </c>
      <c r="BK101" s="22">
        <f t="shared" si="86"/>
        <v>0</v>
      </c>
      <c r="BL101" s="22">
        <f t="shared" si="86"/>
        <v>0</v>
      </c>
      <c r="BM101" s="22">
        <f t="shared" si="86"/>
        <v>0</v>
      </c>
      <c r="BN101" s="22">
        <f t="shared" si="86"/>
        <v>3117800</v>
      </c>
      <c r="BO101" s="22">
        <f t="shared" si="86"/>
        <v>0</v>
      </c>
      <c r="BP101" s="22">
        <f t="shared" si="87"/>
        <v>0</v>
      </c>
      <c r="BQ101" s="22">
        <f t="shared" si="87"/>
        <v>0</v>
      </c>
      <c r="BR101" s="22">
        <f t="shared" si="87"/>
        <v>0</v>
      </c>
      <c r="BS101" s="22">
        <f t="shared" si="87"/>
        <v>42462994</v>
      </c>
      <c r="BT101" s="23">
        <f t="shared" si="60"/>
        <v>0.64892443447815384</v>
      </c>
      <c r="BU101" s="22">
        <f t="shared" si="88"/>
        <v>532769559</v>
      </c>
      <c r="BV101" s="22"/>
      <c r="BW101" s="22"/>
      <c r="BX101" s="22">
        <f>+'[8]ABRIL 2017'!$H$62</f>
        <v>269868200</v>
      </c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>
        <f>+'[5]AGOSTO 2017'!$H$162+'[5]AGOSTO 2017'!$H$165+'[5]AGOSTO 2017'!$X$168</f>
        <v>228875610</v>
      </c>
      <c r="CK101" s="22"/>
      <c r="CL101" s="22"/>
      <c r="CM101" s="22"/>
      <c r="CN101" s="22"/>
      <c r="CO101" s="22">
        <f>+'[5]AGOSTO 2017'!$H$130-CJ101-BX101</f>
        <v>34025749</v>
      </c>
      <c r="CP101" s="23">
        <f t="shared" si="52"/>
        <v>0.35107556552184616</v>
      </c>
      <c r="CQ101" s="22">
        <f t="shared" si="89"/>
        <v>288234445</v>
      </c>
      <c r="CR101" s="22">
        <f t="shared" si="93"/>
        <v>0</v>
      </c>
      <c r="CS101" s="22">
        <f t="shared" si="90"/>
        <v>0</v>
      </c>
      <c r="CT101" s="22">
        <f t="shared" si="90"/>
        <v>30131800</v>
      </c>
      <c r="CU101" s="22">
        <f t="shared" si="90"/>
        <v>0</v>
      </c>
      <c r="CV101" s="22">
        <f t="shared" si="90"/>
        <v>0</v>
      </c>
      <c r="CW101" s="22">
        <f t="shared" si="90"/>
        <v>0</v>
      </c>
      <c r="CX101" s="22">
        <f t="shared" si="90"/>
        <v>0</v>
      </c>
      <c r="CY101" s="22">
        <f t="shared" si="90"/>
        <v>0</v>
      </c>
      <c r="CZ101" s="22">
        <f t="shared" si="90"/>
        <v>0</v>
      </c>
      <c r="DA101" s="22">
        <f t="shared" si="90"/>
        <v>0</v>
      </c>
      <c r="DB101" s="22">
        <f t="shared" si="90"/>
        <v>0</v>
      </c>
      <c r="DC101" s="22">
        <f t="shared" si="90"/>
        <v>0</v>
      </c>
      <c r="DD101" s="22">
        <f t="shared" si="90"/>
        <v>0</v>
      </c>
      <c r="DE101" s="22">
        <f t="shared" si="90"/>
        <v>100000000</v>
      </c>
      <c r="DF101" s="22">
        <f t="shared" si="90"/>
        <v>3117800</v>
      </c>
      <c r="DG101" s="22">
        <f t="shared" si="90"/>
        <v>0</v>
      </c>
      <c r="DH101" s="22">
        <f t="shared" si="90"/>
        <v>0</v>
      </c>
      <c r="DI101" s="22">
        <f t="shared" si="91"/>
        <v>0</v>
      </c>
      <c r="DJ101" s="22">
        <f t="shared" si="91"/>
        <v>0</v>
      </c>
      <c r="DK101" s="22">
        <f t="shared" si="91"/>
        <v>154984845</v>
      </c>
      <c r="DN101" s="152"/>
      <c r="DO101" s="26">
        <v>821004004</v>
      </c>
      <c r="DP101" s="26">
        <v>532769559</v>
      </c>
      <c r="DQ101" s="151">
        <f t="shared" si="77"/>
        <v>0.64892443447815384</v>
      </c>
    </row>
    <row r="102" spans="1:121" s="73" customFormat="1" ht="106.5" hidden="1" customHeight="1" x14ac:dyDescent="0.25">
      <c r="A102" s="192"/>
      <c r="B102" s="189"/>
      <c r="C102" s="84" t="s">
        <v>316</v>
      </c>
      <c r="D102" s="19" t="s">
        <v>317</v>
      </c>
      <c r="E102" s="82">
        <v>211</v>
      </c>
      <c r="F102" s="21" t="s">
        <v>318</v>
      </c>
      <c r="G102" s="22">
        <f t="shared" si="83"/>
        <v>322536487</v>
      </c>
      <c r="H102" s="25"/>
      <c r="I102" s="71"/>
      <c r="J102" s="22"/>
      <c r="K102" s="22"/>
      <c r="L102" s="22"/>
      <c r="M102" s="22">
        <v>210796645</v>
      </c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>
        <f>49844416+10267+1325109+19384428+505024+15468663+5000000+9051815+6334831+4815289</f>
        <v>111739842</v>
      </c>
      <c r="AB102" s="72">
        <f t="shared" si="57"/>
        <v>0.22130720050906985</v>
      </c>
      <c r="AC102" s="22">
        <f t="shared" si="84"/>
        <v>71379647</v>
      </c>
      <c r="AD102" s="71"/>
      <c r="AE102" s="71"/>
      <c r="AF102" s="71"/>
      <c r="AG102" s="71"/>
      <c r="AH102" s="71"/>
      <c r="AI102" s="71">
        <f>+'[4]MAYO 2017'!$N$77</f>
        <v>11416500</v>
      </c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>
        <f>+'[5]AGOSTO 2017'!$AC$186</f>
        <v>59963147</v>
      </c>
      <c r="AX102" s="72">
        <f t="shared" si="58"/>
        <v>0.77869279949093018</v>
      </c>
      <c r="AY102" s="22">
        <f t="shared" si="85"/>
        <v>251156840</v>
      </c>
      <c r="AZ102" s="22">
        <f t="shared" si="86"/>
        <v>0</v>
      </c>
      <c r="BA102" s="22">
        <f t="shared" si="86"/>
        <v>0</v>
      </c>
      <c r="BB102" s="22">
        <f t="shared" si="86"/>
        <v>0</v>
      </c>
      <c r="BC102" s="22">
        <f t="shared" si="86"/>
        <v>0</v>
      </c>
      <c r="BD102" s="22">
        <f t="shared" si="86"/>
        <v>0</v>
      </c>
      <c r="BE102" s="22">
        <f t="shared" si="86"/>
        <v>199380145</v>
      </c>
      <c r="BF102" s="22">
        <f t="shared" si="86"/>
        <v>0</v>
      </c>
      <c r="BG102" s="22">
        <f t="shared" si="86"/>
        <v>0</v>
      </c>
      <c r="BH102" s="22">
        <f t="shared" si="86"/>
        <v>0</v>
      </c>
      <c r="BI102" s="22">
        <f t="shared" si="86"/>
        <v>0</v>
      </c>
      <c r="BJ102" s="22">
        <f t="shared" si="86"/>
        <v>0</v>
      </c>
      <c r="BK102" s="22">
        <f t="shared" si="86"/>
        <v>0</v>
      </c>
      <c r="BL102" s="22">
        <f t="shared" si="86"/>
        <v>0</v>
      </c>
      <c r="BM102" s="22">
        <f t="shared" si="86"/>
        <v>0</v>
      </c>
      <c r="BN102" s="22">
        <f t="shared" si="86"/>
        <v>0</v>
      </c>
      <c r="BO102" s="22">
        <f t="shared" si="86"/>
        <v>0</v>
      </c>
      <c r="BP102" s="22">
        <f t="shared" si="87"/>
        <v>0</v>
      </c>
      <c r="BQ102" s="22">
        <f t="shared" si="87"/>
        <v>0</v>
      </c>
      <c r="BR102" s="22">
        <f t="shared" si="87"/>
        <v>0</v>
      </c>
      <c r="BS102" s="22">
        <f t="shared" si="87"/>
        <v>51776695</v>
      </c>
      <c r="BT102" s="72">
        <f t="shared" si="60"/>
        <v>0.20382831601932838</v>
      </c>
      <c r="BU102" s="22">
        <f t="shared" si="88"/>
        <v>65742069</v>
      </c>
      <c r="BV102" s="71"/>
      <c r="BW102" s="71"/>
      <c r="BX102" s="71"/>
      <c r="BY102" s="71"/>
      <c r="BZ102" s="71"/>
      <c r="CA102" s="71">
        <f>+'[3]JUNIO 2017'!$H$111</f>
        <v>11416500</v>
      </c>
      <c r="CB102" s="71"/>
      <c r="CC102" s="71"/>
      <c r="CD102" s="71"/>
      <c r="CE102" s="71"/>
      <c r="CF102" s="71"/>
      <c r="CG102" s="71"/>
      <c r="CH102" s="71"/>
      <c r="CI102" s="71"/>
      <c r="CJ102" s="71"/>
      <c r="CK102" s="71"/>
      <c r="CL102" s="71"/>
      <c r="CM102" s="71"/>
      <c r="CN102" s="71"/>
      <c r="CO102" s="71">
        <f>+'[5]AGOSTO 2017'!$H$184-CA102</f>
        <v>54325569</v>
      </c>
      <c r="CP102" s="72">
        <f t="shared" si="52"/>
        <v>0.79617168398067162</v>
      </c>
      <c r="CQ102" s="22">
        <f t="shared" si="89"/>
        <v>256794418</v>
      </c>
      <c r="CR102" s="22">
        <f t="shared" si="93"/>
        <v>0</v>
      </c>
      <c r="CS102" s="22">
        <f t="shared" si="90"/>
        <v>0</v>
      </c>
      <c r="CT102" s="22">
        <f t="shared" si="90"/>
        <v>0</v>
      </c>
      <c r="CU102" s="22">
        <f t="shared" si="90"/>
        <v>0</v>
      </c>
      <c r="CV102" s="22">
        <f t="shared" si="90"/>
        <v>0</v>
      </c>
      <c r="CW102" s="22">
        <f t="shared" si="90"/>
        <v>199380145</v>
      </c>
      <c r="CX102" s="22">
        <f t="shared" si="90"/>
        <v>0</v>
      </c>
      <c r="CY102" s="22">
        <f t="shared" si="90"/>
        <v>0</v>
      </c>
      <c r="CZ102" s="22">
        <f t="shared" si="90"/>
        <v>0</v>
      </c>
      <c r="DA102" s="22">
        <f t="shared" si="90"/>
        <v>0</v>
      </c>
      <c r="DB102" s="22">
        <f t="shared" si="90"/>
        <v>0</v>
      </c>
      <c r="DC102" s="22">
        <f t="shared" si="90"/>
        <v>0</v>
      </c>
      <c r="DD102" s="22">
        <f t="shared" si="90"/>
        <v>0</v>
      </c>
      <c r="DE102" s="22">
        <f t="shared" si="90"/>
        <v>0</v>
      </c>
      <c r="DF102" s="22">
        <f t="shared" si="90"/>
        <v>0</v>
      </c>
      <c r="DG102" s="22">
        <f t="shared" si="90"/>
        <v>0</v>
      </c>
      <c r="DH102" s="22">
        <f t="shared" si="90"/>
        <v>0</v>
      </c>
      <c r="DI102" s="22">
        <f t="shared" si="91"/>
        <v>0</v>
      </c>
      <c r="DJ102" s="22">
        <f t="shared" si="91"/>
        <v>0</v>
      </c>
      <c r="DK102" s="22">
        <f t="shared" si="91"/>
        <v>57414273</v>
      </c>
      <c r="DN102" s="153"/>
      <c r="DO102" s="26">
        <v>322536487</v>
      </c>
      <c r="DP102" s="26">
        <v>65742069</v>
      </c>
      <c r="DQ102" s="151">
        <f t="shared" si="77"/>
        <v>0.20382831601932838</v>
      </c>
    </row>
    <row r="103" spans="1:121" ht="48" hidden="1" x14ac:dyDescent="0.25">
      <c r="A103" s="192"/>
      <c r="B103" s="189"/>
      <c r="C103" s="53" t="s">
        <v>319</v>
      </c>
      <c r="D103" s="31" t="s">
        <v>320</v>
      </c>
      <c r="E103" s="83">
        <v>211</v>
      </c>
      <c r="F103" s="21" t="s">
        <v>321</v>
      </c>
      <c r="G103" s="22">
        <f t="shared" si="83"/>
        <v>239038727</v>
      </c>
      <c r="H103" s="33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>
        <v>200000000</v>
      </c>
      <c r="U103" s="22"/>
      <c r="V103" s="22"/>
      <c r="W103" s="22"/>
      <c r="X103" s="22"/>
      <c r="Y103" s="22"/>
      <c r="Z103" s="22"/>
      <c r="AA103" s="22">
        <f>3000000+1038727+20000000+1000000+10000000+4000000</f>
        <v>39038727</v>
      </c>
      <c r="AB103" s="23">
        <f t="shared" si="57"/>
        <v>0.32251062816277465</v>
      </c>
      <c r="AC103" s="22">
        <f t="shared" si="84"/>
        <v>77092530</v>
      </c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>
        <f>+'[4]MAYO 2017'!$V$85</f>
        <v>49455530</v>
      </c>
      <c r="AQ103" s="22"/>
      <c r="AR103" s="22"/>
      <c r="AS103" s="22"/>
      <c r="AT103" s="22"/>
      <c r="AU103" s="22"/>
      <c r="AV103" s="22"/>
      <c r="AW103" s="71">
        <f>+'[6]JULIO 2017'!$AC$157</f>
        <v>27637000</v>
      </c>
      <c r="AX103" s="23">
        <f t="shared" si="58"/>
        <v>0.67748937183722535</v>
      </c>
      <c r="AY103" s="22">
        <f t="shared" si="85"/>
        <v>161946197</v>
      </c>
      <c r="AZ103" s="22">
        <f t="shared" si="86"/>
        <v>0</v>
      </c>
      <c r="BA103" s="22">
        <f t="shared" si="86"/>
        <v>0</v>
      </c>
      <c r="BB103" s="22">
        <f t="shared" si="86"/>
        <v>0</v>
      </c>
      <c r="BC103" s="22">
        <f t="shared" si="86"/>
        <v>0</v>
      </c>
      <c r="BD103" s="22">
        <f t="shared" si="86"/>
        <v>0</v>
      </c>
      <c r="BE103" s="22">
        <f t="shared" si="86"/>
        <v>0</v>
      </c>
      <c r="BF103" s="22">
        <f t="shared" si="86"/>
        <v>0</v>
      </c>
      <c r="BG103" s="22">
        <f t="shared" si="86"/>
        <v>0</v>
      </c>
      <c r="BH103" s="22">
        <f t="shared" si="86"/>
        <v>0</v>
      </c>
      <c r="BI103" s="22">
        <f t="shared" si="86"/>
        <v>0</v>
      </c>
      <c r="BJ103" s="22">
        <f t="shared" si="86"/>
        <v>0</v>
      </c>
      <c r="BK103" s="22">
        <f t="shared" si="86"/>
        <v>0</v>
      </c>
      <c r="BL103" s="22">
        <f t="shared" si="86"/>
        <v>150544470</v>
      </c>
      <c r="BM103" s="22">
        <f t="shared" si="86"/>
        <v>0</v>
      </c>
      <c r="BN103" s="22">
        <f t="shared" si="86"/>
        <v>0</v>
      </c>
      <c r="BO103" s="22">
        <f t="shared" si="86"/>
        <v>0</v>
      </c>
      <c r="BP103" s="22">
        <f t="shared" si="87"/>
        <v>0</v>
      </c>
      <c r="BQ103" s="22">
        <f t="shared" si="87"/>
        <v>0</v>
      </c>
      <c r="BR103" s="22">
        <f t="shared" si="87"/>
        <v>0</v>
      </c>
      <c r="BS103" s="22">
        <f t="shared" si="87"/>
        <v>11401727</v>
      </c>
      <c r="BT103" s="23">
        <f t="shared" si="60"/>
        <v>0.25462446091423502</v>
      </c>
      <c r="BU103" s="22">
        <f t="shared" si="88"/>
        <v>60865107</v>
      </c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>
        <f>+'[6]JULIO 2017'!$H$160+'[6]JULIO 2017'!$H$163+'[6]JULIO 2017'!$H$165+'[6]JULIO 2017'!$H$167</f>
        <v>49455530</v>
      </c>
      <c r="CI103" s="22"/>
      <c r="CJ103" s="22"/>
      <c r="CK103" s="22"/>
      <c r="CL103" s="22"/>
      <c r="CM103" s="22"/>
      <c r="CN103" s="22"/>
      <c r="CO103" s="22">
        <f>+'[5]AGOSTO 2017'!$H$207-CH103</f>
        <v>11409577</v>
      </c>
      <c r="CP103" s="23">
        <f t="shared" si="52"/>
        <v>0.74537553908576504</v>
      </c>
      <c r="CQ103" s="22">
        <f t="shared" si="89"/>
        <v>178173620</v>
      </c>
      <c r="CR103" s="22">
        <f t="shared" si="93"/>
        <v>0</v>
      </c>
      <c r="CS103" s="22">
        <f t="shared" si="90"/>
        <v>0</v>
      </c>
      <c r="CT103" s="22">
        <f t="shared" si="90"/>
        <v>0</v>
      </c>
      <c r="CU103" s="22">
        <f t="shared" si="90"/>
        <v>0</v>
      </c>
      <c r="CV103" s="22">
        <f t="shared" si="90"/>
        <v>0</v>
      </c>
      <c r="CW103" s="22">
        <f t="shared" si="90"/>
        <v>0</v>
      </c>
      <c r="CX103" s="22">
        <f t="shared" si="90"/>
        <v>0</v>
      </c>
      <c r="CY103" s="22">
        <f t="shared" si="90"/>
        <v>0</v>
      </c>
      <c r="CZ103" s="22">
        <f t="shared" si="90"/>
        <v>0</v>
      </c>
      <c r="DA103" s="22">
        <f t="shared" si="90"/>
        <v>0</v>
      </c>
      <c r="DB103" s="22">
        <f t="shared" si="90"/>
        <v>0</v>
      </c>
      <c r="DC103" s="22">
        <f t="shared" si="90"/>
        <v>0</v>
      </c>
      <c r="DD103" s="22">
        <f t="shared" si="90"/>
        <v>150544470</v>
      </c>
      <c r="DE103" s="22">
        <f t="shared" si="90"/>
        <v>0</v>
      </c>
      <c r="DF103" s="22">
        <f t="shared" si="90"/>
        <v>0</v>
      </c>
      <c r="DG103" s="22">
        <f t="shared" si="90"/>
        <v>0</v>
      </c>
      <c r="DH103" s="22">
        <f t="shared" si="90"/>
        <v>0</v>
      </c>
      <c r="DI103" s="22">
        <f t="shared" si="91"/>
        <v>0</v>
      </c>
      <c r="DJ103" s="22">
        <f t="shared" si="91"/>
        <v>0</v>
      </c>
      <c r="DK103" s="22">
        <f t="shared" si="91"/>
        <v>27629150</v>
      </c>
      <c r="DN103" s="152"/>
      <c r="DO103" s="26">
        <v>239038727</v>
      </c>
      <c r="DP103" s="26">
        <v>60865107</v>
      </c>
      <c r="DQ103" s="151">
        <f t="shared" si="77"/>
        <v>0.25462446091423502</v>
      </c>
    </row>
    <row r="104" spans="1:121" ht="31.5" hidden="1" customHeight="1" x14ac:dyDescent="0.25">
      <c r="A104" s="192"/>
      <c r="B104" s="189"/>
      <c r="C104" s="53" t="s">
        <v>322</v>
      </c>
      <c r="D104" s="19" t="s">
        <v>323</v>
      </c>
      <c r="E104" s="83">
        <v>211</v>
      </c>
      <c r="F104" s="21" t="s">
        <v>324</v>
      </c>
      <c r="G104" s="22">
        <f t="shared" si="83"/>
        <v>8765084</v>
      </c>
      <c r="H104" s="33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>
        <f>4000000+1865085+2399999+500000+4000000-4000000</f>
        <v>8765084</v>
      </c>
      <c r="AB104" s="23">
        <f t="shared" si="57"/>
        <v>0.9429554810883729</v>
      </c>
      <c r="AC104" s="22">
        <f t="shared" si="84"/>
        <v>8265084</v>
      </c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>
        <f>+'[5]AGOSTO 2017'!$AC$235</f>
        <v>8265084</v>
      </c>
      <c r="AX104" s="23">
        <f t="shared" si="58"/>
        <v>5.7044518911627096E-2</v>
      </c>
      <c r="AY104" s="22">
        <f t="shared" si="85"/>
        <v>500000</v>
      </c>
      <c r="AZ104" s="22">
        <f t="shared" si="86"/>
        <v>0</v>
      </c>
      <c r="BA104" s="22">
        <f t="shared" si="86"/>
        <v>0</v>
      </c>
      <c r="BB104" s="22">
        <f t="shared" si="86"/>
        <v>0</v>
      </c>
      <c r="BC104" s="22">
        <f t="shared" si="86"/>
        <v>0</v>
      </c>
      <c r="BD104" s="22">
        <f t="shared" si="86"/>
        <v>0</v>
      </c>
      <c r="BE104" s="22">
        <f t="shared" si="86"/>
        <v>0</v>
      </c>
      <c r="BF104" s="22">
        <f t="shared" si="86"/>
        <v>0</v>
      </c>
      <c r="BG104" s="22">
        <f t="shared" si="86"/>
        <v>0</v>
      </c>
      <c r="BH104" s="22">
        <f t="shared" si="86"/>
        <v>0</v>
      </c>
      <c r="BI104" s="22">
        <f t="shared" si="86"/>
        <v>0</v>
      </c>
      <c r="BJ104" s="22">
        <f t="shared" si="86"/>
        <v>0</v>
      </c>
      <c r="BK104" s="22">
        <f t="shared" si="86"/>
        <v>0</v>
      </c>
      <c r="BL104" s="22">
        <f t="shared" si="86"/>
        <v>0</v>
      </c>
      <c r="BM104" s="22">
        <f t="shared" si="86"/>
        <v>0</v>
      </c>
      <c r="BN104" s="22">
        <f t="shared" si="86"/>
        <v>0</v>
      </c>
      <c r="BO104" s="22">
        <f t="shared" si="86"/>
        <v>0</v>
      </c>
      <c r="BP104" s="22">
        <f t="shared" si="87"/>
        <v>0</v>
      </c>
      <c r="BQ104" s="22">
        <f t="shared" si="87"/>
        <v>0</v>
      </c>
      <c r="BR104" s="22">
        <f t="shared" si="87"/>
        <v>0</v>
      </c>
      <c r="BS104" s="22">
        <f t="shared" si="87"/>
        <v>500000</v>
      </c>
      <c r="BT104" s="23">
        <f t="shared" si="60"/>
        <v>0.94286991431000544</v>
      </c>
      <c r="BU104" s="22">
        <f t="shared" si="88"/>
        <v>8264334</v>
      </c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>
        <f>+'[5]AGOSTO 2017'!$H$233</f>
        <v>8264334</v>
      </c>
      <c r="CP104" s="23">
        <f t="shared" si="52"/>
        <v>5.7130085689994559E-2</v>
      </c>
      <c r="CQ104" s="22">
        <f t="shared" si="89"/>
        <v>500750</v>
      </c>
      <c r="CR104" s="22">
        <f t="shared" si="93"/>
        <v>0</v>
      </c>
      <c r="CS104" s="22">
        <f t="shared" si="90"/>
        <v>0</v>
      </c>
      <c r="CT104" s="22">
        <f t="shared" si="90"/>
        <v>0</v>
      </c>
      <c r="CU104" s="22">
        <f t="shared" si="90"/>
        <v>0</v>
      </c>
      <c r="CV104" s="22">
        <f t="shared" si="90"/>
        <v>0</v>
      </c>
      <c r="CW104" s="22">
        <f t="shared" si="90"/>
        <v>0</v>
      </c>
      <c r="CX104" s="22">
        <f t="shared" si="90"/>
        <v>0</v>
      </c>
      <c r="CY104" s="22">
        <f t="shared" si="90"/>
        <v>0</v>
      </c>
      <c r="CZ104" s="22">
        <f t="shared" si="90"/>
        <v>0</v>
      </c>
      <c r="DA104" s="22">
        <f t="shared" si="90"/>
        <v>0</v>
      </c>
      <c r="DB104" s="22">
        <f t="shared" si="90"/>
        <v>0</v>
      </c>
      <c r="DC104" s="22">
        <f t="shared" si="90"/>
        <v>0</v>
      </c>
      <c r="DD104" s="22">
        <f t="shared" si="90"/>
        <v>0</v>
      </c>
      <c r="DE104" s="22">
        <f t="shared" si="90"/>
        <v>0</v>
      </c>
      <c r="DF104" s="22">
        <f t="shared" si="90"/>
        <v>0</v>
      </c>
      <c r="DG104" s="22">
        <f t="shared" si="90"/>
        <v>0</v>
      </c>
      <c r="DH104" s="22">
        <f t="shared" si="90"/>
        <v>0</v>
      </c>
      <c r="DI104" s="22">
        <f t="shared" si="91"/>
        <v>0</v>
      </c>
      <c r="DJ104" s="22">
        <f t="shared" si="91"/>
        <v>0</v>
      </c>
      <c r="DK104" s="22">
        <f t="shared" si="91"/>
        <v>500750</v>
      </c>
      <c r="DN104" s="152"/>
      <c r="DO104" s="26">
        <v>8765084</v>
      </c>
      <c r="DP104" s="26">
        <v>8264334</v>
      </c>
      <c r="DQ104" s="151">
        <f t="shared" si="77"/>
        <v>0.94286991431000544</v>
      </c>
    </row>
    <row r="105" spans="1:121" ht="27" hidden="1" customHeight="1" x14ac:dyDescent="0.25">
      <c r="A105" s="192"/>
      <c r="B105" s="189"/>
      <c r="C105" s="53" t="s">
        <v>325</v>
      </c>
      <c r="D105" s="19" t="s">
        <v>326</v>
      </c>
      <c r="E105" s="83">
        <v>211</v>
      </c>
      <c r="F105" s="21" t="s">
        <v>327</v>
      </c>
      <c r="G105" s="22">
        <f t="shared" si="83"/>
        <v>360351833</v>
      </c>
      <c r="H105" s="33"/>
      <c r="I105" s="22"/>
      <c r="J105" s="22">
        <f>450000000-94648167</f>
        <v>355351833</v>
      </c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>
        <f>5000000</f>
        <v>5000000</v>
      </c>
      <c r="AB105" s="23">
        <f t="shared" si="57"/>
        <v>0.9830196562369089</v>
      </c>
      <c r="AC105" s="22">
        <f t="shared" si="84"/>
        <v>354232935</v>
      </c>
      <c r="AD105" s="22"/>
      <c r="AE105" s="22"/>
      <c r="AF105" s="22">
        <f>+'[5]AGOSTO 2017'!$L$251</f>
        <v>354232935</v>
      </c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3">
        <f t="shared" si="58"/>
        <v>1.6980343763091099E-2</v>
      </c>
      <c r="AY105" s="22">
        <f t="shared" si="85"/>
        <v>6118898</v>
      </c>
      <c r="AZ105" s="22">
        <f t="shared" si="86"/>
        <v>0</v>
      </c>
      <c r="BA105" s="22">
        <f t="shared" si="86"/>
        <v>0</v>
      </c>
      <c r="BB105" s="22">
        <f t="shared" si="86"/>
        <v>1118898</v>
      </c>
      <c r="BC105" s="22">
        <f t="shared" si="86"/>
        <v>0</v>
      </c>
      <c r="BD105" s="22">
        <f t="shared" si="86"/>
        <v>0</v>
      </c>
      <c r="BE105" s="22">
        <f t="shared" si="86"/>
        <v>0</v>
      </c>
      <c r="BF105" s="22">
        <f t="shared" si="86"/>
        <v>0</v>
      </c>
      <c r="BG105" s="22">
        <f t="shared" si="86"/>
        <v>0</v>
      </c>
      <c r="BH105" s="22">
        <f t="shared" si="86"/>
        <v>0</v>
      </c>
      <c r="BI105" s="22">
        <f t="shared" si="86"/>
        <v>0</v>
      </c>
      <c r="BJ105" s="22">
        <f t="shared" si="86"/>
        <v>0</v>
      </c>
      <c r="BK105" s="22">
        <f t="shared" si="86"/>
        <v>0</v>
      </c>
      <c r="BL105" s="22">
        <f t="shared" si="86"/>
        <v>0</v>
      </c>
      <c r="BM105" s="22">
        <f t="shared" si="86"/>
        <v>0</v>
      </c>
      <c r="BN105" s="22">
        <f t="shared" si="86"/>
        <v>0</v>
      </c>
      <c r="BO105" s="22">
        <f t="shared" si="86"/>
        <v>0</v>
      </c>
      <c r="BP105" s="22">
        <f t="shared" si="87"/>
        <v>0</v>
      </c>
      <c r="BQ105" s="22">
        <f t="shared" si="87"/>
        <v>0</v>
      </c>
      <c r="BR105" s="22">
        <f t="shared" si="87"/>
        <v>0</v>
      </c>
      <c r="BS105" s="22">
        <f t="shared" si="87"/>
        <v>5000000</v>
      </c>
      <c r="BT105" s="23">
        <f t="shared" si="60"/>
        <v>0.98301965346184317</v>
      </c>
      <c r="BU105" s="22">
        <f t="shared" si="88"/>
        <v>354232934</v>
      </c>
      <c r="BV105" s="22"/>
      <c r="BW105" s="22"/>
      <c r="BX105" s="22">
        <f>+'[5]AGOSTO 2017'!$H$249</f>
        <v>354232934</v>
      </c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3">
        <f t="shared" si="52"/>
        <v>1.6980346538156832E-2</v>
      </c>
      <c r="CQ105" s="22">
        <f t="shared" si="89"/>
        <v>6118899</v>
      </c>
      <c r="CR105" s="22">
        <f t="shared" si="93"/>
        <v>0</v>
      </c>
      <c r="CS105" s="22">
        <f t="shared" si="90"/>
        <v>0</v>
      </c>
      <c r="CT105" s="22">
        <f t="shared" si="90"/>
        <v>1118899</v>
      </c>
      <c r="CU105" s="22">
        <f t="shared" si="90"/>
        <v>0</v>
      </c>
      <c r="CV105" s="22">
        <f t="shared" si="90"/>
        <v>0</v>
      </c>
      <c r="CW105" s="22">
        <f t="shared" si="90"/>
        <v>0</v>
      </c>
      <c r="CX105" s="22">
        <f t="shared" si="90"/>
        <v>0</v>
      </c>
      <c r="CY105" s="22">
        <f t="shared" si="90"/>
        <v>0</v>
      </c>
      <c r="CZ105" s="22">
        <f t="shared" si="90"/>
        <v>0</v>
      </c>
      <c r="DA105" s="22">
        <f t="shared" si="90"/>
        <v>0</v>
      </c>
      <c r="DB105" s="22">
        <f t="shared" si="90"/>
        <v>0</v>
      </c>
      <c r="DC105" s="22">
        <f t="shared" si="90"/>
        <v>0</v>
      </c>
      <c r="DD105" s="22">
        <f t="shared" si="90"/>
        <v>0</v>
      </c>
      <c r="DE105" s="22">
        <f t="shared" si="90"/>
        <v>0</v>
      </c>
      <c r="DF105" s="22">
        <f t="shared" si="90"/>
        <v>0</v>
      </c>
      <c r="DG105" s="22">
        <f t="shared" si="90"/>
        <v>0</v>
      </c>
      <c r="DH105" s="22">
        <f t="shared" si="90"/>
        <v>0</v>
      </c>
      <c r="DI105" s="22">
        <f t="shared" si="91"/>
        <v>0</v>
      </c>
      <c r="DJ105" s="22">
        <f t="shared" si="91"/>
        <v>0</v>
      </c>
      <c r="DK105" s="22">
        <f t="shared" si="91"/>
        <v>5000000</v>
      </c>
      <c r="DN105" s="152"/>
      <c r="DO105" s="26">
        <v>360351833</v>
      </c>
      <c r="DP105" s="26">
        <v>354232934</v>
      </c>
      <c r="DQ105" s="151">
        <f t="shared" si="77"/>
        <v>0.98301965346184317</v>
      </c>
    </row>
    <row r="106" spans="1:121" ht="24" hidden="1" customHeight="1" x14ac:dyDescent="0.25">
      <c r="A106" s="192"/>
      <c r="B106" s="189"/>
      <c r="C106" s="53" t="s">
        <v>328</v>
      </c>
      <c r="D106" s="19" t="s">
        <v>329</v>
      </c>
      <c r="E106" s="83">
        <v>211</v>
      </c>
      <c r="F106" s="21" t="s">
        <v>330</v>
      </c>
      <c r="G106" s="22">
        <f t="shared" si="83"/>
        <v>359648167</v>
      </c>
      <c r="H106" s="33"/>
      <c r="I106" s="22">
        <v>112000000</v>
      </c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>
        <f>153000000+94648167</f>
        <v>247648167</v>
      </c>
      <c r="W106" s="22"/>
      <c r="X106" s="22"/>
      <c r="Y106" s="22"/>
      <c r="Z106" s="22"/>
      <c r="AA106" s="22"/>
      <c r="AB106" s="23">
        <f t="shared" si="57"/>
        <v>0.99721158595533732</v>
      </c>
      <c r="AC106" s="22">
        <f t="shared" si="84"/>
        <v>358645319</v>
      </c>
      <c r="AD106" s="22"/>
      <c r="AE106" s="22">
        <f>+'[3]JUNIO 2017'!$K$162</f>
        <v>110997152</v>
      </c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>
        <f>+'[6]JULIO 2017'!$X$212</f>
        <v>247648167</v>
      </c>
      <c r="AS106" s="22"/>
      <c r="AT106" s="22"/>
      <c r="AU106" s="22"/>
      <c r="AV106" s="22"/>
      <c r="AW106" s="22"/>
      <c r="AX106" s="23">
        <f t="shared" si="58"/>
        <v>2.7884140446626793E-3</v>
      </c>
      <c r="AY106" s="22">
        <f t="shared" si="85"/>
        <v>1002848</v>
      </c>
      <c r="AZ106" s="22">
        <f t="shared" si="86"/>
        <v>0</v>
      </c>
      <c r="BA106" s="22">
        <f t="shared" si="86"/>
        <v>1002848</v>
      </c>
      <c r="BB106" s="22">
        <f t="shared" si="86"/>
        <v>0</v>
      </c>
      <c r="BC106" s="22">
        <f t="shared" si="86"/>
        <v>0</v>
      </c>
      <c r="BD106" s="22">
        <f t="shared" si="86"/>
        <v>0</v>
      </c>
      <c r="BE106" s="22">
        <f t="shared" si="86"/>
        <v>0</v>
      </c>
      <c r="BF106" s="22">
        <f t="shared" si="86"/>
        <v>0</v>
      </c>
      <c r="BG106" s="22">
        <f t="shared" si="86"/>
        <v>0</v>
      </c>
      <c r="BH106" s="22">
        <f t="shared" si="86"/>
        <v>0</v>
      </c>
      <c r="BI106" s="22">
        <f t="shared" si="86"/>
        <v>0</v>
      </c>
      <c r="BJ106" s="22">
        <f t="shared" si="86"/>
        <v>0</v>
      </c>
      <c r="BK106" s="22">
        <f t="shared" si="86"/>
        <v>0</v>
      </c>
      <c r="BL106" s="22">
        <f t="shared" si="86"/>
        <v>0</v>
      </c>
      <c r="BM106" s="22">
        <f t="shared" si="86"/>
        <v>0</v>
      </c>
      <c r="BN106" s="22">
        <f t="shared" si="86"/>
        <v>0</v>
      </c>
      <c r="BO106" s="22">
        <f t="shared" si="86"/>
        <v>0</v>
      </c>
      <c r="BP106" s="22">
        <f t="shared" si="87"/>
        <v>0</v>
      </c>
      <c r="BQ106" s="22">
        <f t="shared" si="87"/>
        <v>0</v>
      </c>
      <c r="BR106" s="22">
        <f t="shared" si="87"/>
        <v>0</v>
      </c>
      <c r="BS106" s="22">
        <f t="shared" si="87"/>
        <v>0</v>
      </c>
      <c r="BT106" s="23">
        <f t="shared" si="60"/>
        <v>0.97380562209288279</v>
      </c>
      <c r="BU106" s="22">
        <f t="shared" si="88"/>
        <v>350227407</v>
      </c>
      <c r="BV106" s="22"/>
      <c r="BW106" s="22">
        <f>+'[6]JULIO 2017'!$H$217</f>
        <v>110832974</v>
      </c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>
        <f>+'[6]JULIO 2017'!$H$210-BW106</f>
        <v>239394433</v>
      </c>
      <c r="CK106" s="22"/>
      <c r="CL106" s="22"/>
      <c r="CM106" s="22"/>
      <c r="CN106" s="22"/>
      <c r="CO106" s="22"/>
      <c r="CP106" s="23">
        <f t="shared" si="52"/>
        <v>2.6194377907117206E-2</v>
      </c>
      <c r="CQ106" s="22">
        <f t="shared" si="89"/>
        <v>9420760</v>
      </c>
      <c r="CR106" s="22">
        <f t="shared" si="93"/>
        <v>0</v>
      </c>
      <c r="CS106" s="22">
        <f t="shared" si="90"/>
        <v>1167026</v>
      </c>
      <c r="CT106" s="22">
        <f t="shared" si="90"/>
        <v>0</v>
      </c>
      <c r="CU106" s="22">
        <f t="shared" si="90"/>
        <v>0</v>
      </c>
      <c r="CV106" s="22">
        <f t="shared" si="90"/>
        <v>0</v>
      </c>
      <c r="CW106" s="22">
        <f t="shared" si="90"/>
        <v>0</v>
      </c>
      <c r="CX106" s="22">
        <f t="shared" si="90"/>
        <v>0</v>
      </c>
      <c r="CY106" s="22">
        <f t="shared" si="90"/>
        <v>0</v>
      </c>
      <c r="CZ106" s="22">
        <f t="shared" si="90"/>
        <v>0</v>
      </c>
      <c r="DA106" s="22">
        <f t="shared" si="90"/>
        <v>0</v>
      </c>
      <c r="DB106" s="22">
        <f t="shared" si="90"/>
        <v>0</v>
      </c>
      <c r="DC106" s="22">
        <f t="shared" si="90"/>
        <v>0</v>
      </c>
      <c r="DD106" s="22">
        <f t="shared" si="90"/>
        <v>0</v>
      </c>
      <c r="DE106" s="22">
        <f t="shared" si="90"/>
        <v>0</v>
      </c>
      <c r="DF106" s="22">
        <f t="shared" si="90"/>
        <v>8253734</v>
      </c>
      <c r="DG106" s="22">
        <f t="shared" si="90"/>
        <v>0</v>
      </c>
      <c r="DH106" s="22">
        <f t="shared" si="90"/>
        <v>0</v>
      </c>
      <c r="DI106" s="22">
        <f t="shared" si="91"/>
        <v>0</v>
      </c>
      <c r="DJ106" s="22">
        <f t="shared" si="91"/>
        <v>0</v>
      </c>
      <c r="DK106" s="22">
        <f t="shared" si="91"/>
        <v>0</v>
      </c>
      <c r="DN106" s="152"/>
      <c r="DO106" s="26">
        <v>359648167</v>
      </c>
      <c r="DP106" s="26">
        <v>350227407</v>
      </c>
      <c r="DQ106" s="151">
        <f t="shared" si="77"/>
        <v>0.97380562209288279</v>
      </c>
    </row>
    <row r="107" spans="1:121" s="73" customFormat="1" ht="45.75" hidden="1" customHeight="1" x14ac:dyDescent="0.25">
      <c r="A107" s="58"/>
      <c r="B107" s="19" t="s">
        <v>331</v>
      </c>
      <c r="C107" s="84" t="s">
        <v>332</v>
      </c>
      <c r="D107" s="19" t="s">
        <v>333</v>
      </c>
      <c r="E107" s="82" t="s">
        <v>334</v>
      </c>
      <c r="F107" s="21" t="s">
        <v>335</v>
      </c>
      <c r="G107" s="22">
        <f t="shared" si="83"/>
        <v>823639235</v>
      </c>
      <c r="H107" s="25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>
        <v>123182603</v>
      </c>
      <c r="V107" s="22"/>
      <c r="W107" s="22"/>
      <c r="X107" s="22"/>
      <c r="Y107" s="22">
        <f>300856785+366514874</f>
        <v>667371659</v>
      </c>
      <c r="Z107" s="22">
        <v>33084973</v>
      </c>
      <c r="AA107" s="22"/>
      <c r="AB107" s="72">
        <f t="shared" si="57"/>
        <v>1</v>
      </c>
      <c r="AC107" s="22">
        <f t="shared" si="84"/>
        <v>823639235</v>
      </c>
      <c r="AD107" s="71"/>
      <c r="AE107" s="71"/>
      <c r="AF107" s="71"/>
      <c r="AG107" s="71"/>
      <c r="AH107" s="71"/>
      <c r="AI107" s="71"/>
      <c r="AJ107" s="71"/>
      <c r="AK107" s="71"/>
      <c r="AL107" s="71"/>
      <c r="AM107" s="71"/>
      <c r="AN107" s="71"/>
      <c r="AO107" s="71"/>
      <c r="AP107" s="71"/>
      <c r="AQ107" s="71">
        <f>+'[5]AGOSTO 2017'!$W$3337</f>
        <v>123182603</v>
      </c>
      <c r="AR107" s="71"/>
      <c r="AS107" s="71"/>
      <c r="AT107" s="71"/>
      <c r="AU107" s="71">
        <f>+'[8]ABRIL 2017'!$AA$1559</f>
        <v>667371659</v>
      </c>
      <c r="AV107" s="71">
        <f>+'[1]ENERO 2017'!$S$891</f>
        <v>33084973</v>
      </c>
      <c r="AW107" s="71"/>
      <c r="AX107" s="72">
        <f t="shared" si="58"/>
        <v>0</v>
      </c>
      <c r="AY107" s="22">
        <f t="shared" si="85"/>
        <v>0</v>
      </c>
      <c r="AZ107" s="22">
        <f t="shared" si="86"/>
        <v>0</v>
      </c>
      <c r="BA107" s="22">
        <f t="shared" si="86"/>
        <v>0</v>
      </c>
      <c r="BB107" s="22">
        <f t="shared" si="86"/>
        <v>0</v>
      </c>
      <c r="BC107" s="22">
        <f t="shared" si="86"/>
        <v>0</v>
      </c>
      <c r="BD107" s="22">
        <f t="shared" si="86"/>
        <v>0</v>
      </c>
      <c r="BE107" s="22">
        <f t="shared" si="86"/>
        <v>0</v>
      </c>
      <c r="BF107" s="22">
        <f t="shared" si="86"/>
        <v>0</v>
      </c>
      <c r="BG107" s="22">
        <f t="shared" si="86"/>
        <v>0</v>
      </c>
      <c r="BH107" s="22">
        <f t="shared" si="86"/>
        <v>0</v>
      </c>
      <c r="BI107" s="22">
        <f t="shared" si="86"/>
        <v>0</v>
      </c>
      <c r="BJ107" s="22">
        <f t="shared" si="86"/>
        <v>0</v>
      </c>
      <c r="BK107" s="22">
        <f t="shared" si="86"/>
        <v>0</v>
      </c>
      <c r="BL107" s="22">
        <f t="shared" si="86"/>
        <v>0</v>
      </c>
      <c r="BM107" s="22">
        <f t="shared" si="86"/>
        <v>0</v>
      </c>
      <c r="BN107" s="22">
        <f t="shared" si="86"/>
        <v>0</v>
      </c>
      <c r="BO107" s="22">
        <f t="shared" si="86"/>
        <v>0</v>
      </c>
      <c r="BP107" s="22">
        <f t="shared" si="87"/>
        <v>0</v>
      </c>
      <c r="BQ107" s="22">
        <f t="shared" si="87"/>
        <v>0</v>
      </c>
      <c r="BR107" s="22">
        <f t="shared" si="87"/>
        <v>0</v>
      </c>
      <c r="BS107" s="22">
        <f t="shared" si="87"/>
        <v>0</v>
      </c>
      <c r="BT107" s="72">
        <f t="shared" si="60"/>
        <v>0.75743387819546992</v>
      </c>
      <c r="BU107" s="22">
        <f t="shared" si="88"/>
        <v>623852260</v>
      </c>
      <c r="BV107" s="71"/>
      <c r="BW107" s="71"/>
      <c r="BX107" s="71"/>
      <c r="BY107" s="71"/>
      <c r="BZ107" s="71"/>
      <c r="CA107" s="71"/>
      <c r="CB107" s="71"/>
      <c r="CC107" s="71"/>
      <c r="CD107" s="71"/>
      <c r="CE107" s="71"/>
      <c r="CF107" s="71"/>
      <c r="CG107" s="71"/>
      <c r="CH107" s="71"/>
      <c r="CI107" s="71"/>
      <c r="CJ107" s="71"/>
      <c r="CK107" s="71"/>
      <c r="CL107" s="71"/>
      <c r="CM107" s="71">
        <f>+'[5]AGOSTO 2017'!$H$3338+'[5]AGOSTO 2017'!$H$3359</f>
        <v>591018660</v>
      </c>
      <c r="CN107" s="71">
        <f>+'[5]AGOSTO 2017'!$H$3355</f>
        <v>32833600</v>
      </c>
      <c r="CO107" s="71"/>
      <c r="CP107" s="72">
        <f t="shared" si="52"/>
        <v>0.24256612180453008</v>
      </c>
      <c r="CQ107" s="22">
        <f t="shared" si="89"/>
        <v>199786975</v>
      </c>
      <c r="CR107" s="22">
        <f t="shared" si="93"/>
        <v>0</v>
      </c>
      <c r="CS107" s="22">
        <f t="shared" si="90"/>
        <v>0</v>
      </c>
      <c r="CT107" s="22">
        <f t="shared" si="90"/>
        <v>0</v>
      </c>
      <c r="CU107" s="22">
        <f t="shared" si="90"/>
        <v>0</v>
      </c>
      <c r="CV107" s="22">
        <f t="shared" si="90"/>
        <v>0</v>
      </c>
      <c r="CW107" s="22">
        <f t="shared" si="90"/>
        <v>0</v>
      </c>
      <c r="CX107" s="22">
        <f t="shared" si="90"/>
        <v>0</v>
      </c>
      <c r="CY107" s="22">
        <f t="shared" si="90"/>
        <v>0</v>
      </c>
      <c r="CZ107" s="22">
        <f t="shared" si="90"/>
        <v>0</v>
      </c>
      <c r="DA107" s="22">
        <f t="shared" si="90"/>
        <v>0</v>
      </c>
      <c r="DB107" s="22">
        <f t="shared" si="90"/>
        <v>0</v>
      </c>
      <c r="DC107" s="22">
        <f t="shared" si="90"/>
        <v>0</v>
      </c>
      <c r="DD107" s="22">
        <f t="shared" si="90"/>
        <v>0</v>
      </c>
      <c r="DE107" s="22">
        <f t="shared" si="90"/>
        <v>123182603</v>
      </c>
      <c r="DF107" s="22">
        <f t="shared" si="90"/>
        <v>0</v>
      </c>
      <c r="DG107" s="22">
        <f t="shared" si="90"/>
        <v>0</v>
      </c>
      <c r="DH107" s="22">
        <f t="shared" si="90"/>
        <v>0</v>
      </c>
      <c r="DI107" s="22">
        <f t="shared" si="91"/>
        <v>76352999</v>
      </c>
      <c r="DJ107" s="22">
        <f t="shared" si="91"/>
        <v>251373</v>
      </c>
      <c r="DK107" s="22">
        <f t="shared" si="91"/>
        <v>0</v>
      </c>
      <c r="DN107" s="153"/>
      <c r="DO107" s="26">
        <v>823639235</v>
      </c>
      <c r="DP107" s="26">
        <v>623852260</v>
      </c>
      <c r="DQ107" s="151">
        <f t="shared" si="77"/>
        <v>0.75743387819546992</v>
      </c>
    </row>
    <row r="108" spans="1:121" ht="36.75" hidden="1" customHeight="1" x14ac:dyDescent="0.25">
      <c r="A108" s="192" t="s">
        <v>292</v>
      </c>
      <c r="B108" s="200" t="s">
        <v>336</v>
      </c>
      <c r="C108" s="53" t="s">
        <v>337</v>
      </c>
      <c r="D108" s="19" t="s">
        <v>338</v>
      </c>
      <c r="E108" s="83">
        <v>510</v>
      </c>
      <c r="F108" s="21" t="s">
        <v>339</v>
      </c>
      <c r="G108" s="22">
        <f t="shared" si="83"/>
        <v>120238283</v>
      </c>
      <c r="H108" s="22"/>
      <c r="I108" s="22">
        <f>115954283+4284000</f>
        <v>120238283</v>
      </c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3">
        <f t="shared" si="57"/>
        <v>0.9794406911149921</v>
      </c>
      <c r="AC108" s="22">
        <f t="shared" si="84"/>
        <v>117766267</v>
      </c>
      <c r="AD108" s="22"/>
      <c r="AE108" s="22">
        <f>+'[6]JULIO 2017'!$K$2296</f>
        <v>117766267</v>
      </c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3">
        <f t="shared" si="58"/>
        <v>2.0559308885007899E-2</v>
      </c>
      <c r="AY108" s="22">
        <f t="shared" si="85"/>
        <v>2472016</v>
      </c>
      <c r="AZ108" s="22">
        <f t="shared" si="86"/>
        <v>0</v>
      </c>
      <c r="BA108" s="22">
        <f t="shared" si="86"/>
        <v>2472016</v>
      </c>
      <c r="BB108" s="22">
        <f t="shared" si="86"/>
        <v>0</v>
      </c>
      <c r="BC108" s="22">
        <f t="shared" si="86"/>
        <v>0</v>
      </c>
      <c r="BD108" s="22">
        <f t="shared" si="86"/>
        <v>0</v>
      </c>
      <c r="BE108" s="22">
        <f t="shared" si="86"/>
        <v>0</v>
      </c>
      <c r="BF108" s="22">
        <f t="shared" si="86"/>
        <v>0</v>
      </c>
      <c r="BG108" s="22">
        <f t="shared" si="86"/>
        <v>0</v>
      </c>
      <c r="BH108" s="22">
        <f t="shared" si="86"/>
        <v>0</v>
      </c>
      <c r="BI108" s="22">
        <f t="shared" si="86"/>
        <v>0</v>
      </c>
      <c r="BJ108" s="22">
        <f t="shared" si="86"/>
        <v>0</v>
      </c>
      <c r="BK108" s="22">
        <f t="shared" si="86"/>
        <v>0</v>
      </c>
      <c r="BL108" s="22">
        <f t="shared" si="86"/>
        <v>0</v>
      </c>
      <c r="BM108" s="22">
        <f t="shared" si="86"/>
        <v>0</v>
      </c>
      <c r="BN108" s="22">
        <f t="shared" si="86"/>
        <v>0</v>
      </c>
      <c r="BO108" s="22">
        <f t="shared" si="86"/>
        <v>0</v>
      </c>
      <c r="BP108" s="22">
        <f t="shared" si="87"/>
        <v>0</v>
      </c>
      <c r="BQ108" s="22">
        <f t="shared" si="87"/>
        <v>0</v>
      </c>
      <c r="BR108" s="22">
        <f t="shared" si="87"/>
        <v>0</v>
      </c>
      <c r="BS108" s="22">
        <f t="shared" si="87"/>
        <v>0</v>
      </c>
      <c r="BT108" s="23">
        <f t="shared" si="60"/>
        <v>0.97710695020486948</v>
      </c>
      <c r="BU108" s="22">
        <f t="shared" si="88"/>
        <v>117485662</v>
      </c>
      <c r="BV108" s="22"/>
      <c r="BW108" s="22">
        <f>+'[5]AGOSTO 2017'!$H$2633</f>
        <v>117485662</v>
      </c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3">
        <f t="shared" si="52"/>
        <v>2.2893049795130516E-2</v>
      </c>
      <c r="CQ108" s="22">
        <f t="shared" si="89"/>
        <v>2752621</v>
      </c>
      <c r="CR108" s="22">
        <f t="shared" si="93"/>
        <v>0</v>
      </c>
      <c r="CS108" s="22">
        <f t="shared" si="90"/>
        <v>2752621</v>
      </c>
      <c r="CT108" s="22">
        <f t="shared" si="90"/>
        <v>0</v>
      </c>
      <c r="CU108" s="22">
        <f t="shared" si="90"/>
        <v>0</v>
      </c>
      <c r="CV108" s="22">
        <f t="shared" si="90"/>
        <v>0</v>
      </c>
      <c r="CW108" s="22">
        <f t="shared" si="90"/>
        <v>0</v>
      </c>
      <c r="CX108" s="22">
        <f t="shared" si="90"/>
        <v>0</v>
      </c>
      <c r="CY108" s="22">
        <f t="shared" si="90"/>
        <v>0</v>
      </c>
      <c r="CZ108" s="22">
        <f t="shared" si="90"/>
        <v>0</v>
      </c>
      <c r="DA108" s="22">
        <f t="shared" si="90"/>
        <v>0</v>
      </c>
      <c r="DB108" s="22">
        <f t="shared" si="90"/>
        <v>0</v>
      </c>
      <c r="DC108" s="22">
        <f t="shared" si="90"/>
        <v>0</v>
      </c>
      <c r="DD108" s="22">
        <f t="shared" si="90"/>
        <v>0</v>
      </c>
      <c r="DE108" s="22">
        <f t="shared" si="90"/>
        <v>0</v>
      </c>
      <c r="DF108" s="22">
        <f t="shared" si="90"/>
        <v>0</v>
      </c>
      <c r="DG108" s="22">
        <f t="shared" si="90"/>
        <v>0</v>
      </c>
      <c r="DH108" s="22">
        <f t="shared" si="90"/>
        <v>0</v>
      </c>
      <c r="DI108" s="22">
        <f t="shared" si="91"/>
        <v>0</v>
      </c>
      <c r="DJ108" s="22">
        <f t="shared" si="91"/>
        <v>0</v>
      </c>
      <c r="DK108" s="22">
        <f t="shared" si="91"/>
        <v>0</v>
      </c>
      <c r="DN108" s="152"/>
      <c r="DO108" s="26">
        <v>120238283</v>
      </c>
      <c r="DP108" s="26">
        <v>117485662</v>
      </c>
      <c r="DQ108" s="151">
        <f t="shared" si="77"/>
        <v>0.97710695020486948</v>
      </c>
    </row>
    <row r="109" spans="1:121" ht="51" hidden="1" customHeight="1" x14ac:dyDescent="0.25">
      <c r="A109" s="192"/>
      <c r="B109" s="201"/>
      <c r="C109" s="53" t="s">
        <v>340</v>
      </c>
      <c r="D109" s="19" t="s">
        <v>341</v>
      </c>
      <c r="E109" s="83">
        <v>510</v>
      </c>
      <c r="F109" s="21" t="s">
        <v>339</v>
      </c>
      <c r="G109" s="22">
        <f t="shared" si="83"/>
        <v>134000000</v>
      </c>
      <c r="H109" s="22"/>
      <c r="I109" s="22">
        <v>134000000</v>
      </c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3">
        <f t="shared" si="57"/>
        <v>0.97124261940298506</v>
      </c>
      <c r="AC109" s="22">
        <f t="shared" si="84"/>
        <v>130146511</v>
      </c>
      <c r="AD109" s="22"/>
      <c r="AE109" s="22">
        <f>+'[6]JULIO 2017'!$K$2313</f>
        <v>130146511</v>
      </c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3">
        <f t="shared" si="58"/>
        <v>2.8757380597014937E-2</v>
      </c>
      <c r="AY109" s="22">
        <f t="shared" si="85"/>
        <v>3853489</v>
      </c>
      <c r="AZ109" s="22">
        <f t="shared" si="86"/>
        <v>0</v>
      </c>
      <c r="BA109" s="22">
        <f t="shared" si="86"/>
        <v>3853489</v>
      </c>
      <c r="BB109" s="22">
        <f t="shared" si="86"/>
        <v>0</v>
      </c>
      <c r="BC109" s="22">
        <f t="shared" si="86"/>
        <v>0</v>
      </c>
      <c r="BD109" s="22">
        <f t="shared" si="86"/>
        <v>0</v>
      </c>
      <c r="BE109" s="22">
        <f t="shared" si="86"/>
        <v>0</v>
      </c>
      <c r="BF109" s="22">
        <f t="shared" si="86"/>
        <v>0</v>
      </c>
      <c r="BG109" s="22">
        <f t="shared" si="86"/>
        <v>0</v>
      </c>
      <c r="BH109" s="22">
        <f t="shared" si="86"/>
        <v>0</v>
      </c>
      <c r="BI109" s="22">
        <f t="shared" si="86"/>
        <v>0</v>
      </c>
      <c r="BJ109" s="22">
        <f t="shared" si="86"/>
        <v>0</v>
      </c>
      <c r="BK109" s="22">
        <f t="shared" si="86"/>
        <v>0</v>
      </c>
      <c r="BL109" s="22">
        <f t="shared" si="86"/>
        <v>0</v>
      </c>
      <c r="BM109" s="22">
        <f t="shared" si="86"/>
        <v>0</v>
      </c>
      <c r="BN109" s="22">
        <f t="shared" si="86"/>
        <v>0</v>
      </c>
      <c r="BO109" s="22">
        <f t="shared" si="86"/>
        <v>0</v>
      </c>
      <c r="BP109" s="22">
        <f t="shared" si="87"/>
        <v>0</v>
      </c>
      <c r="BQ109" s="22">
        <f t="shared" si="87"/>
        <v>0</v>
      </c>
      <c r="BR109" s="22">
        <f t="shared" si="87"/>
        <v>0</v>
      </c>
      <c r="BS109" s="22">
        <f t="shared" si="87"/>
        <v>0</v>
      </c>
      <c r="BT109" s="23">
        <f t="shared" si="60"/>
        <v>0.97124261940298506</v>
      </c>
      <c r="BU109" s="22">
        <f t="shared" si="88"/>
        <v>130146511</v>
      </c>
      <c r="BV109" s="22"/>
      <c r="BW109" s="22">
        <f>+'[5]AGOSTO 2017'!$H$2651</f>
        <v>130146511</v>
      </c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3">
        <f t="shared" si="52"/>
        <v>2.8757380597014937E-2</v>
      </c>
      <c r="CQ109" s="22">
        <f t="shared" si="89"/>
        <v>3853489</v>
      </c>
      <c r="CR109" s="22">
        <f t="shared" si="93"/>
        <v>0</v>
      </c>
      <c r="CS109" s="22">
        <f t="shared" si="90"/>
        <v>3853489</v>
      </c>
      <c r="CT109" s="22">
        <f t="shared" si="90"/>
        <v>0</v>
      </c>
      <c r="CU109" s="22">
        <f t="shared" si="90"/>
        <v>0</v>
      </c>
      <c r="CV109" s="22">
        <f t="shared" si="90"/>
        <v>0</v>
      </c>
      <c r="CW109" s="22">
        <f t="shared" si="90"/>
        <v>0</v>
      </c>
      <c r="CX109" s="22">
        <f t="shared" si="90"/>
        <v>0</v>
      </c>
      <c r="CY109" s="22">
        <f t="shared" si="90"/>
        <v>0</v>
      </c>
      <c r="CZ109" s="22">
        <f t="shared" si="90"/>
        <v>0</v>
      </c>
      <c r="DA109" s="22">
        <f t="shared" si="90"/>
        <v>0</v>
      </c>
      <c r="DB109" s="22">
        <f t="shared" si="90"/>
        <v>0</v>
      </c>
      <c r="DC109" s="22">
        <f t="shared" si="90"/>
        <v>0</v>
      </c>
      <c r="DD109" s="22">
        <f t="shared" si="90"/>
        <v>0</v>
      </c>
      <c r="DE109" s="22">
        <f t="shared" si="90"/>
        <v>0</v>
      </c>
      <c r="DF109" s="22">
        <f t="shared" si="90"/>
        <v>0</v>
      </c>
      <c r="DG109" s="22">
        <f t="shared" si="90"/>
        <v>0</v>
      </c>
      <c r="DH109" s="22">
        <f t="shared" si="90"/>
        <v>0</v>
      </c>
      <c r="DI109" s="22">
        <f t="shared" si="91"/>
        <v>0</v>
      </c>
      <c r="DJ109" s="22">
        <f t="shared" si="91"/>
        <v>0</v>
      </c>
      <c r="DK109" s="22">
        <f t="shared" si="91"/>
        <v>0</v>
      </c>
      <c r="DN109" s="152"/>
      <c r="DO109" s="26">
        <v>134000000</v>
      </c>
      <c r="DP109" s="26">
        <v>130146511</v>
      </c>
      <c r="DQ109" s="151">
        <f t="shared" si="77"/>
        <v>0.97124261940298506</v>
      </c>
    </row>
    <row r="110" spans="1:121" ht="38.25" hidden="1" customHeight="1" x14ac:dyDescent="0.25">
      <c r="A110" s="192"/>
      <c r="B110" s="201"/>
      <c r="C110" s="53" t="s">
        <v>342</v>
      </c>
      <c r="D110" s="19" t="s">
        <v>343</v>
      </c>
      <c r="E110" s="83">
        <v>510</v>
      </c>
      <c r="F110" s="21" t="s">
        <v>339</v>
      </c>
      <c r="G110" s="22">
        <f t="shared" si="83"/>
        <v>26716000</v>
      </c>
      <c r="H110" s="22"/>
      <c r="I110" s="22">
        <f>31000000-4284000</f>
        <v>26716000</v>
      </c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3">
        <f t="shared" si="57"/>
        <v>0.31816140140739629</v>
      </c>
      <c r="AC110" s="22">
        <f t="shared" si="84"/>
        <v>8500000</v>
      </c>
      <c r="AD110" s="22"/>
      <c r="AE110" s="22">
        <f>+'[6]JULIO 2017'!$K$2334</f>
        <v>8500000</v>
      </c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3">
        <f t="shared" si="58"/>
        <v>0.68183859859260365</v>
      </c>
      <c r="AY110" s="22">
        <f t="shared" si="85"/>
        <v>18216000</v>
      </c>
      <c r="AZ110" s="22">
        <f t="shared" si="86"/>
        <v>0</v>
      </c>
      <c r="BA110" s="22">
        <f t="shared" si="86"/>
        <v>18216000</v>
      </c>
      <c r="BB110" s="22">
        <f t="shared" si="86"/>
        <v>0</v>
      </c>
      <c r="BC110" s="22">
        <f t="shared" si="86"/>
        <v>0</v>
      </c>
      <c r="BD110" s="22">
        <f t="shared" si="86"/>
        <v>0</v>
      </c>
      <c r="BE110" s="22">
        <f t="shared" si="86"/>
        <v>0</v>
      </c>
      <c r="BF110" s="22">
        <f t="shared" si="86"/>
        <v>0</v>
      </c>
      <c r="BG110" s="22">
        <f t="shared" si="86"/>
        <v>0</v>
      </c>
      <c r="BH110" s="22">
        <f t="shared" si="86"/>
        <v>0</v>
      </c>
      <c r="BI110" s="22">
        <f t="shared" si="86"/>
        <v>0</v>
      </c>
      <c r="BJ110" s="22">
        <f t="shared" si="86"/>
        <v>0</v>
      </c>
      <c r="BK110" s="22">
        <f t="shared" si="86"/>
        <v>0</v>
      </c>
      <c r="BL110" s="22">
        <f t="shared" si="86"/>
        <v>0</v>
      </c>
      <c r="BM110" s="22">
        <f t="shared" si="86"/>
        <v>0</v>
      </c>
      <c r="BN110" s="22">
        <f t="shared" si="86"/>
        <v>0</v>
      </c>
      <c r="BO110" s="22">
        <f t="shared" si="86"/>
        <v>0</v>
      </c>
      <c r="BP110" s="22">
        <f t="shared" si="87"/>
        <v>0</v>
      </c>
      <c r="BQ110" s="22">
        <f t="shared" si="87"/>
        <v>0</v>
      </c>
      <c r="BR110" s="22">
        <f t="shared" si="87"/>
        <v>0</v>
      </c>
      <c r="BS110" s="22">
        <f t="shared" si="87"/>
        <v>0</v>
      </c>
      <c r="BT110" s="23">
        <f t="shared" si="60"/>
        <v>0.31816140140739629</v>
      </c>
      <c r="BU110" s="22">
        <f t="shared" si="88"/>
        <v>8500000</v>
      </c>
      <c r="BV110" s="22"/>
      <c r="BW110" s="22">
        <f>+'[5]AGOSTO 2017'!$H$2673</f>
        <v>8500000</v>
      </c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3">
        <f t="shared" si="52"/>
        <v>0.68183859859260365</v>
      </c>
      <c r="CQ110" s="22">
        <f t="shared" si="89"/>
        <v>18216000</v>
      </c>
      <c r="CR110" s="22">
        <f t="shared" si="93"/>
        <v>0</v>
      </c>
      <c r="CS110" s="22">
        <f t="shared" si="90"/>
        <v>18216000</v>
      </c>
      <c r="CT110" s="22">
        <f t="shared" si="90"/>
        <v>0</v>
      </c>
      <c r="CU110" s="22">
        <f t="shared" si="90"/>
        <v>0</v>
      </c>
      <c r="CV110" s="22">
        <f t="shared" si="90"/>
        <v>0</v>
      </c>
      <c r="CW110" s="22">
        <f t="shared" si="90"/>
        <v>0</v>
      </c>
      <c r="CX110" s="22">
        <f t="shared" si="90"/>
        <v>0</v>
      </c>
      <c r="CY110" s="22">
        <f t="shared" si="90"/>
        <v>0</v>
      </c>
      <c r="CZ110" s="22">
        <f t="shared" si="90"/>
        <v>0</v>
      </c>
      <c r="DA110" s="22">
        <f t="shared" si="90"/>
        <v>0</v>
      </c>
      <c r="DB110" s="22">
        <f t="shared" si="90"/>
        <v>0</v>
      </c>
      <c r="DC110" s="22">
        <f t="shared" si="90"/>
        <v>0</v>
      </c>
      <c r="DD110" s="22">
        <f t="shared" si="90"/>
        <v>0</v>
      </c>
      <c r="DE110" s="22">
        <f t="shared" si="90"/>
        <v>0</v>
      </c>
      <c r="DF110" s="22">
        <f t="shared" si="90"/>
        <v>0</v>
      </c>
      <c r="DG110" s="22">
        <f t="shared" si="90"/>
        <v>0</v>
      </c>
      <c r="DH110" s="22">
        <f t="shared" si="90"/>
        <v>0</v>
      </c>
      <c r="DI110" s="22">
        <f t="shared" si="91"/>
        <v>0</v>
      </c>
      <c r="DJ110" s="22">
        <f t="shared" si="91"/>
        <v>0</v>
      </c>
      <c r="DK110" s="22">
        <f t="shared" si="91"/>
        <v>0</v>
      </c>
      <c r="DN110" s="152"/>
      <c r="DO110" s="26">
        <v>26716000</v>
      </c>
      <c r="DP110" s="26">
        <v>8500000</v>
      </c>
      <c r="DQ110" s="151">
        <f t="shared" si="77"/>
        <v>0.31816140140739629</v>
      </c>
    </row>
    <row r="111" spans="1:121" ht="32.25" hidden="1" customHeight="1" x14ac:dyDescent="0.25">
      <c r="A111" s="192"/>
      <c r="B111" s="202"/>
      <c r="C111" s="53" t="s">
        <v>344</v>
      </c>
      <c r="D111" s="19" t="s">
        <v>345</v>
      </c>
      <c r="E111" s="83">
        <v>510</v>
      </c>
      <c r="F111" s="21" t="s">
        <v>200</v>
      </c>
      <c r="G111" s="22">
        <f t="shared" si="83"/>
        <v>0</v>
      </c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>
        <f>2000000-2000000</f>
        <v>0</v>
      </c>
      <c r="AB111" s="23" t="e">
        <f t="shared" si="57"/>
        <v>#DIV/0!</v>
      </c>
      <c r="AC111" s="22">
        <f t="shared" si="84"/>
        <v>0</v>
      </c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3" t="e">
        <f t="shared" si="58"/>
        <v>#DIV/0!</v>
      </c>
      <c r="AY111" s="22">
        <f t="shared" si="85"/>
        <v>0</v>
      </c>
      <c r="AZ111" s="22">
        <f t="shared" si="86"/>
        <v>0</v>
      </c>
      <c r="BA111" s="22">
        <f t="shared" si="86"/>
        <v>0</v>
      </c>
      <c r="BB111" s="22">
        <f t="shared" si="86"/>
        <v>0</v>
      </c>
      <c r="BC111" s="22">
        <f t="shared" si="86"/>
        <v>0</v>
      </c>
      <c r="BD111" s="22">
        <f t="shared" si="86"/>
        <v>0</v>
      </c>
      <c r="BE111" s="22">
        <f t="shared" si="86"/>
        <v>0</v>
      </c>
      <c r="BF111" s="22">
        <f t="shared" si="86"/>
        <v>0</v>
      </c>
      <c r="BG111" s="22">
        <f t="shared" si="86"/>
        <v>0</v>
      </c>
      <c r="BH111" s="22">
        <f t="shared" si="86"/>
        <v>0</v>
      </c>
      <c r="BI111" s="22">
        <f t="shared" si="86"/>
        <v>0</v>
      </c>
      <c r="BJ111" s="22">
        <f t="shared" si="86"/>
        <v>0</v>
      </c>
      <c r="BK111" s="22">
        <f t="shared" si="86"/>
        <v>0</v>
      </c>
      <c r="BL111" s="22">
        <f t="shared" si="86"/>
        <v>0</v>
      </c>
      <c r="BM111" s="22">
        <f t="shared" si="86"/>
        <v>0</v>
      </c>
      <c r="BN111" s="22">
        <f t="shared" si="86"/>
        <v>0</v>
      </c>
      <c r="BO111" s="22">
        <f t="shared" si="87"/>
        <v>0</v>
      </c>
      <c r="BP111" s="22">
        <f t="shared" si="87"/>
        <v>0</v>
      </c>
      <c r="BQ111" s="22">
        <f t="shared" si="87"/>
        <v>0</v>
      </c>
      <c r="BR111" s="22">
        <f t="shared" si="87"/>
        <v>0</v>
      </c>
      <c r="BS111" s="22">
        <f t="shared" si="87"/>
        <v>0</v>
      </c>
      <c r="BT111" s="23" t="e">
        <f t="shared" si="60"/>
        <v>#DIV/0!</v>
      </c>
      <c r="BU111" s="22">
        <f t="shared" si="88"/>
        <v>0</v>
      </c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3" t="e">
        <f t="shared" si="52"/>
        <v>#DIV/0!</v>
      </c>
      <c r="CQ111" s="22">
        <f t="shared" si="89"/>
        <v>0</v>
      </c>
      <c r="CR111" s="22">
        <f t="shared" si="93"/>
        <v>0</v>
      </c>
      <c r="CS111" s="22">
        <f t="shared" si="90"/>
        <v>0</v>
      </c>
      <c r="CT111" s="22">
        <f t="shared" si="90"/>
        <v>0</v>
      </c>
      <c r="CU111" s="22">
        <f t="shared" si="90"/>
        <v>0</v>
      </c>
      <c r="CV111" s="22">
        <f t="shared" si="90"/>
        <v>0</v>
      </c>
      <c r="CW111" s="22">
        <f t="shared" si="90"/>
        <v>0</v>
      </c>
      <c r="CX111" s="22">
        <f t="shared" si="90"/>
        <v>0</v>
      </c>
      <c r="CY111" s="22">
        <f t="shared" si="90"/>
        <v>0</v>
      </c>
      <c r="CZ111" s="22">
        <f t="shared" si="90"/>
        <v>0</v>
      </c>
      <c r="DA111" s="22">
        <f t="shared" si="90"/>
        <v>0</v>
      </c>
      <c r="DB111" s="22">
        <f t="shared" si="90"/>
        <v>0</v>
      </c>
      <c r="DC111" s="22">
        <f t="shared" si="90"/>
        <v>0</v>
      </c>
      <c r="DD111" s="22">
        <f t="shared" si="90"/>
        <v>0</v>
      </c>
      <c r="DE111" s="22">
        <f t="shared" si="90"/>
        <v>0</v>
      </c>
      <c r="DF111" s="22">
        <f t="shared" si="90"/>
        <v>0</v>
      </c>
      <c r="DG111" s="22">
        <f t="shared" si="90"/>
        <v>0</v>
      </c>
      <c r="DH111" s="22">
        <f t="shared" si="90"/>
        <v>0</v>
      </c>
      <c r="DI111" s="22">
        <f t="shared" si="91"/>
        <v>0</v>
      </c>
      <c r="DJ111" s="22">
        <f t="shared" si="91"/>
        <v>0</v>
      </c>
      <c r="DK111" s="22">
        <f t="shared" si="91"/>
        <v>0</v>
      </c>
      <c r="DN111" s="152"/>
      <c r="DO111" s="26">
        <v>0</v>
      </c>
      <c r="DP111" s="26">
        <v>0</v>
      </c>
      <c r="DQ111" s="151" t="e">
        <f t="shared" si="77"/>
        <v>#DIV/0!</v>
      </c>
    </row>
    <row r="112" spans="1:121" ht="39" hidden="1" customHeight="1" x14ac:dyDescent="0.25">
      <c r="A112" s="192"/>
      <c r="B112" s="59" t="s">
        <v>346</v>
      </c>
      <c r="C112" s="53" t="s">
        <v>347</v>
      </c>
      <c r="D112" s="19" t="s">
        <v>348</v>
      </c>
      <c r="E112" s="83">
        <v>510</v>
      </c>
      <c r="F112" s="21" t="s">
        <v>349</v>
      </c>
      <c r="G112" s="22">
        <f t="shared" si="83"/>
        <v>50000000</v>
      </c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>
        <v>50000000</v>
      </c>
      <c r="W112" s="22"/>
      <c r="X112" s="22"/>
      <c r="Y112" s="22"/>
      <c r="Z112" s="22"/>
      <c r="AA112" s="22"/>
      <c r="AB112" s="23">
        <f t="shared" si="57"/>
        <v>1</v>
      </c>
      <c r="AC112" s="22">
        <f t="shared" si="84"/>
        <v>50000000</v>
      </c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>
        <f>+'[7]FEBRERO 2017'!$X$861</f>
        <v>50000000</v>
      </c>
      <c r="AS112" s="22"/>
      <c r="AT112" s="22"/>
      <c r="AU112" s="22"/>
      <c r="AV112" s="22"/>
      <c r="AW112" s="22"/>
      <c r="AX112" s="23">
        <f t="shared" si="58"/>
        <v>0</v>
      </c>
      <c r="AY112" s="22">
        <f t="shared" si="85"/>
        <v>0</v>
      </c>
      <c r="AZ112" s="22">
        <f t="shared" si="86"/>
        <v>0</v>
      </c>
      <c r="BA112" s="22">
        <f t="shared" si="86"/>
        <v>0</v>
      </c>
      <c r="BB112" s="22">
        <f t="shared" si="86"/>
        <v>0</v>
      </c>
      <c r="BC112" s="22">
        <f t="shared" si="86"/>
        <v>0</v>
      </c>
      <c r="BD112" s="22">
        <f t="shared" si="86"/>
        <v>0</v>
      </c>
      <c r="BE112" s="22">
        <f t="shared" si="86"/>
        <v>0</v>
      </c>
      <c r="BF112" s="22">
        <f t="shared" si="86"/>
        <v>0</v>
      </c>
      <c r="BG112" s="22">
        <f t="shared" si="86"/>
        <v>0</v>
      </c>
      <c r="BH112" s="22">
        <f t="shared" si="86"/>
        <v>0</v>
      </c>
      <c r="BI112" s="22">
        <f t="shared" si="86"/>
        <v>0</v>
      </c>
      <c r="BJ112" s="22">
        <f t="shared" si="86"/>
        <v>0</v>
      </c>
      <c r="BK112" s="22">
        <f t="shared" si="86"/>
        <v>0</v>
      </c>
      <c r="BL112" s="22">
        <f t="shared" si="86"/>
        <v>0</v>
      </c>
      <c r="BM112" s="22">
        <f t="shared" si="86"/>
        <v>0</v>
      </c>
      <c r="BN112" s="22">
        <f t="shared" ref="AZ112:BN113" si="94">V112-AR112</f>
        <v>0</v>
      </c>
      <c r="BO112" s="22">
        <f t="shared" si="87"/>
        <v>0</v>
      </c>
      <c r="BP112" s="22">
        <f t="shared" si="87"/>
        <v>0</v>
      </c>
      <c r="BQ112" s="22">
        <f t="shared" si="87"/>
        <v>0</v>
      </c>
      <c r="BR112" s="22">
        <f t="shared" si="87"/>
        <v>0</v>
      </c>
      <c r="BS112" s="22">
        <f t="shared" si="87"/>
        <v>0</v>
      </c>
      <c r="BT112" s="23">
        <f t="shared" si="60"/>
        <v>1</v>
      </c>
      <c r="BU112" s="22">
        <f t="shared" si="88"/>
        <v>50000000</v>
      </c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>
        <f>+'[2]FEBRERO 2017'!$H$1029</f>
        <v>50000000</v>
      </c>
      <c r="CK112" s="22"/>
      <c r="CL112" s="22"/>
      <c r="CM112" s="22"/>
      <c r="CN112" s="22"/>
      <c r="CO112" s="22"/>
      <c r="CP112" s="23">
        <f t="shared" si="52"/>
        <v>0</v>
      </c>
      <c r="CQ112" s="22">
        <f t="shared" si="89"/>
        <v>0</v>
      </c>
      <c r="CR112" s="22">
        <f t="shared" si="93"/>
        <v>0</v>
      </c>
      <c r="CS112" s="22">
        <f t="shared" si="90"/>
        <v>0</v>
      </c>
      <c r="CT112" s="22">
        <f t="shared" si="90"/>
        <v>0</v>
      </c>
      <c r="CU112" s="22">
        <f t="shared" si="90"/>
        <v>0</v>
      </c>
      <c r="CV112" s="22">
        <f t="shared" si="90"/>
        <v>0</v>
      </c>
      <c r="CW112" s="22">
        <f t="shared" si="90"/>
        <v>0</v>
      </c>
      <c r="CX112" s="22">
        <f t="shared" si="90"/>
        <v>0</v>
      </c>
      <c r="CY112" s="22">
        <f t="shared" si="90"/>
        <v>0</v>
      </c>
      <c r="CZ112" s="22">
        <f t="shared" si="90"/>
        <v>0</v>
      </c>
      <c r="DA112" s="22">
        <f t="shared" si="90"/>
        <v>0</v>
      </c>
      <c r="DB112" s="22">
        <f t="shared" si="90"/>
        <v>0</v>
      </c>
      <c r="DC112" s="22">
        <f t="shared" si="90"/>
        <v>0</v>
      </c>
      <c r="DD112" s="22">
        <f t="shared" si="90"/>
        <v>0</v>
      </c>
      <c r="DE112" s="22">
        <f t="shared" si="90"/>
        <v>0</v>
      </c>
      <c r="DF112" s="22">
        <f t="shared" si="90"/>
        <v>0</v>
      </c>
      <c r="DG112" s="22">
        <f t="shared" ref="CS112:DH113" si="95">W112-CK112</f>
        <v>0</v>
      </c>
      <c r="DH112" s="22">
        <f t="shared" si="95"/>
        <v>0</v>
      </c>
      <c r="DI112" s="22">
        <f t="shared" si="91"/>
        <v>0</v>
      </c>
      <c r="DJ112" s="22">
        <f t="shared" si="91"/>
        <v>0</v>
      </c>
      <c r="DK112" s="22">
        <f t="shared" si="91"/>
        <v>0</v>
      </c>
      <c r="DN112" s="152"/>
      <c r="DO112" s="26">
        <v>50000000</v>
      </c>
      <c r="DP112" s="26">
        <v>50000000</v>
      </c>
      <c r="DQ112" s="151">
        <f t="shared" si="77"/>
        <v>1</v>
      </c>
    </row>
    <row r="113" spans="1:121" ht="54" hidden="1" customHeight="1" x14ac:dyDescent="0.25">
      <c r="A113" s="196"/>
      <c r="B113" s="59" t="s">
        <v>350</v>
      </c>
      <c r="C113" s="53" t="s">
        <v>351</v>
      </c>
      <c r="D113" s="19" t="s">
        <v>352</v>
      </c>
      <c r="E113" s="83">
        <v>310</v>
      </c>
      <c r="F113" s="21" t="s">
        <v>353</v>
      </c>
      <c r="G113" s="22">
        <f t="shared" si="83"/>
        <v>215500000</v>
      </c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>
        <v>200000000</v>
      </c>
      <c r="W113" s="22"/>
      <c r="X113" s="22"/>
      <c r="Y113" s="22"/>
      <c r="Z113" s="22"/>
      <c r="AA113" s="22">
        <f>17000000+1500000+5000000-8000000</f>
        <v>15500000</v>
      </c>
      <c r="AB113" s="23">
        <f t="shared" si="57"/>
        <v>0.93659351740139207</v>
      </c>
      <c r="AC113" s="22">
        <f t="shared" si="84"/>
        <v>201835903</v>
      </c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>
        <f>+'[6]JULIO 2017'!$X$434</f>
        <v>200000000</v>
      </c>
      <c r="AS113" s="22"/>
      <c r="AT113" s="22"/>
      <c r="AU113" s="22"/>
      <c r="AV113" s="22"/>
      <c r="AW113" s="22">
        <f>+'[5]AGOSTO 2017'!$AC$534</f>
        <v>1835903</v>
      </c>
      <c r="AX113" s="23">
        <f t="shared" si="58"/>
        <v>6.3406482598607927E-2</v>
      </c>
      <c r="AY113" s="22">
        <f t="shared" si="85"/>
        <v>13664097</v>
      </c>
      <c r="AZ113" s="22">
        <f t="shared" si="94"/>
        <v>0</v>
      </c>
      <c r="BA113" s="22">
        <f t="shared" si="94"/>
        <v>0</v>
      </c>
      <c r="BB113" s="22">
        <f t="shared" si="94"/>
        <v>0</v>
      </c>
      <c r="BC113" s="22">
        <f t="shared" si="94"/>
        <v>0</v>
      </c>
      <c r="BD113" s="22">
        <f t="shared" si="94"/>
        <v>0</v>
      </c>
      <c r="BE113" s="22">
        <f t="shared" si="94"/>
        <v>0</v>
      </c>
      <c r="BF113" s="22">
        <f t="shared" si="94"/>
        <v>0</v>
      </c>
      <c r="BG113" s="22">
        <f t="shared" si="94"/>
        <v>0</v>
      </c>
      <c r="BH113" s="22">
        <f t="shared" si="94"/>
        <v>0</v>
      </c>
      <c r="BI113" s="22">
        <f t="shared" si="94"/>
        <v>0</v>
      </c>
      <c r="BJ113" s="22">
        <f t="shared" si="94"/>
        <v>0</v>
      </c>
      <c r="BK113" s="22">
        <f t="shared" si="94"/>
        <v>0</v>
      </c>
      <c r="BL113" s="22">
        <f t="shared" si="94"/>
        <v>0</v>
      </c>
      <c r="BM113" s="22">
        <f t="shared" si="94"/>
        <v>0</v>
      </c>
      <c r="BN113" s="22">
        <f t="shared" si="94"/>
        <v>0</v>
      </c>
      <c r="BO113" s="22">
        <f t="shared" si="87"/>
        <v>0</v>
      </c>
      <c r="BP113" s="22">
        <f t="shared" si="87"/>
        <v>0</v>
      </c>
      <c r="BQ113" s="22">
        <f t="shared" si="87"/>
        <v>0</v>
      </c>
      <c r="BR113" s="22">
        <f t="shared" si="87"/>
        <v>0</v>
      </c>
      <c r="BS113" s="22">
        <f t="shared" si="87"/>
        <v>13664097</v>
      </c>
      <c r="BT113" s="23">
        <f t="shared" si="60"/>
        <v>0.68522258468677499</v>
      </c>
      <c r="BU113" s="22">
        <f t="shared" si="88"/>
        <v>147665467</v>
      </c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>
        <f>+'[5]AGOSTO 2017'!$H$532-CO113</f>
        <v>145829564</v>
      </c>
      <c r="CK113" s="22"/>
      <c r="CL113" s="22"/>
      <c r="CM113" s="22"/>
      <c r="CN113" s="22"/>
      <c r="CO113" s="22">
        <f>+'[5]AGOSTO 2017'!$H$620+'[5]AGOSTO 2017'!$H$621</f>
        <v>1835903</v>
      </c>
      <c r="CP113" s="23">
        <f t="shared" si="52"/>
        <v>0.31477741531322501</v>
      </c>
      <c r="CQ113" s="22">
        <f t="shared" si="89"/>
        <v>67834533</v>
      </c>
      <c r="CR113" s="22">
        <f t="shared" si="93"/>
        <v>0</v>
      </c>
      <c r="CS113" s="22">
        <f t="shared" si="95"/>
        <v>0</v>
      </c>
      <c r="CT113" s="22">
        <f t="shared" si="95"/>
        <v>0</v>
      </c>
      <c r="CU113" s="22">
        <f t="shared" si="95"/>
        <v>0</v>
      </c>
      <c r="CV113" s="22">
        <f t="shared" si="95"/>
        <v>0</v>
      </c>
      <c r="CW113" s="22">
        <f t="shared" si="95"/>
        <v>0</v>
      </c>
      <c r="CX113" s="22">
        <f t="shared" si="95"/>
        <v>0</v>
      </c>
      <c r="CY113" s="22">
        <f t="shared" si="95"/>
        <v>0</v>
      </c>
      <c r="CZ113" s="22">
        <f t="shared" si="95"/>
        <v>0</v>
      </c>
      <c r="DA113" s="22">
        <f t="shared" si="95"/>
        <v>0</v>
      </c>
      <c r="DB113" s="22">
        <f t="shared" si="95"/>
        <v>0</v>
      </c>
      <c r="DC113" s="22">
        <f t="shared" si="95"/>
        <v>0</v>
      </c>
      <c r="DD113" s="22">
        <f t="shared" si="95"/>
        <v>0</v>
      </c>
      <c r="DE113" s="22">
        <f t="shared" si="95"/>
        <v>0</v>
      </c>
      <c r="DF113" s="22">
        <f t="shared" si="95"/>
        <v>54170436</v>
      </c>
      <c r="DG113" s="22">
        <f t="shared" si="95"/>
        <v>0</v>
      </c>
      <c r="DH113" s="22">
        <f t="shared" si="95"/>
        <v>0</v>
      </c>
      <c r="DI113" s="22">
        <f t="shared" si="91"/>
        <v>0</v>
      </c>
      <c r="DJ113" s="22">
        <f t="shared" si="91"/>
        <v>0</v>
      </c>
      <c r="DK113" s="22">
        <f t="shared" si="91"/>
        <v>13664097</v>
      </c>
      <c r="DN113" s="152"/>
      <c r="DO113" s="26">
        <v>215500000</v>
      </c>
      <c r="DP113" s="26">
        <v>147665467</v>
      </c>
      <c r="DQ113" s="151">
        <f t="shared" si="77"/>
        <v>0.68522258468677499</v>
      </c>
    </row>
    <row r="114" spans="1:121" s="47" customFormat="1" ht="26.25" customHeight="1" thickTop="1" thickBot="1" x14ac:dyDescent="0.3">
      <c r="A114" s="85"/>
      <c r="B114" s="230" t="s">
        <v>370</v>
      </c>
      <c r="C114" s="231"/>
      <c r="D114" s="231"/>
      <c r="E114" s="86"/>
      <c r="F114" s="87"/>
      <c r="G114" s="62">
        <f t="shared" ref="G114:AA114" si="96">SUM(G95:G113)</f>
        <v>7370293649</v>
      </c>
      <c r="H114" s="62">
        <f t="shared" si="96"/>
        <v>181434097</v>
      </c>
      <c r="I114" s="62">
        <f t="shared" si="96"/>
        <v>392954283</v>
      </c>
      <c r="J114" s="62">
        <f t="shared" si="96"/>
        <v>1150000000</v>
      </c>
      <c r="K114" s="62">
        <f t="shared" si="96"/>
        <v>1481402260</v>
      </c>
      <c r="L114" s="62">
        <f t="shared" si="96"/>
        <v>80883013</v>
      </c>
      <c r="M114" s="62">
        <f t="shared" si="96"/>
        <v>210796645</v>
      </c>
      <c r="N114" s="62">
        <f t="shared" si="96"/>
        <v>12004716</v>
      </c>
      <c r="O114" s="62">
        <f t="shared" si="96"/>
        <v>6840985</v>
      </c>
      <c r="P114" s="62">
        <f t="shared" si="96"/>
        <v>30665828</v>
      </c>
      <c r="Q114" s="62">
        <f t="shared" si="96"/>
        <v>1940856</v>
      </c>
      <c r="R114" s="62">
        <f t="shared" si="96"/>
        <v>135153822</v>
      </c>
      <c r="S114" s="62">
        <f t="shared" si="96"/>
        <v>0</v>
      </c>
      <c r="T114" s="62">
        <f t="shared" si="96"/>
        <v>300000000</v>
      </c>
      <c r="U114" s="62">
        <f t="shared" si="96"/>
        <v>575407003</v>
      </c>
      <c r="V114" s="62">
        <f t="shared" si="96"/>
        <v>1012993410</v>
      </c>
      <c r="W114" s="62">
        <f t="shared" si="96"/>
        <v>0</v>
      </c>
      <c r="X114" s="62">
        <f t="shared" si="96"/>
        <v>0</v>
      </c>
      <c r="Y114" s="62">
        <f t="shared" si="96"/>
        <v>667371659</v>
      </c>
      <c r="Z114" s="62">
        <f t="shared" si="96"/>
        <v>33084973</v>
      </c>
      <c r="AA114" s="62">
        <f t="shared" si="96"/>
        <v>1097360099</v>
      </c>
      <c r="AB114" s="44">
        <f t="shared" si="57"/>
        <v>0.82212170946840379</v>
      </c>
      <c r="AC114" s="62">
        <f t="shared" ref="AC114:AW114" si="97">SUM(AC95:AC113)</f>
        <v>6059278414</v>
      </c>
      <c r="AD114" s="62">
        <f t="shared" si="97"/>
        <v>181434097</v>
      </c>
      <c r="AE114" s="62">
        <f t="shared" si="97"/>
        <v>367409930</v>
      </c>
      <c r="AF114" s="62">
        <f t="shared" si="97"/>
        <v>906975308</v>
      </c>
      <c r="AG114" s="62">
        <f>SUM(AG95:AG113)</f>
        <v>1442649906</v>
      </c>
      <c r="AH114" s="62">
        <f t="shared" si="97"/>
        <v>80883013</v>
      </c>
      <c r="AI114" s="62">
        <f t="shared" si="97"/>
        <v>11416500</v>
      </c>
      <c r="AJ114" s="62">
        <f t="shared" si="97"/>
        <v>12004716</v>
      </c>
      <c r="AK114" s="62">
        <f t="shared" si="97"/>
        <v>6840985</v>
      </c>
      <c r="AL114" s="62">
        <f t="shared" si="97"/>
        <v>30665828</v>
      </c>
      <c r="AM114" s="62">
        <f t="shared" si="97"/>
        <v>0</v>
      </c>
      <c r="AN114" s="62">
        <f t="shared" si="97"/>
        <v>135153822</v>
      </c>
      <c r="AO114" s="62">
        <f t="shared" si="97"/>
        <v>0</v>
      </c>
      <c r="AP114" s="62">
        <f t="shared" si="97"/>
        <v>149455530</v>
      </c>
      <c r="AQ114" s="62">
        <f t="shared" si="97"/>
        <v>533407003</v>
      </c>
      <c r="AR114" s="62">
        <f t="shared" si="97"/>
        <v>915593059</v>
      </c>
      <c r="AS114" s="62">
        <f t="shared" si="97"/>
        <v>0</v>
      </c>
      <c r="AT114" s="62">
        <f t="shared" si="97"/>
        <v>0</v>
      </c>
      <c r="AU114" s="62">
        <f t="shared" si="97"/>
        <v>667371659</v>
      </c>
      <c r="AV114" s="62">
        <f t="shared" si="97"/>
        <v>33084973</v>
      </c>
      <c r="AW114" s="62">
        <f t="shared" si="97"/>
        <v>584932085</v>
      </c>
      <c r="AX114" s="44">
        <f t="shared" si="58"/>
        <v>0.17787829053159621</v>
      </c>
      <c r="AY114" s="62">
        <f t="shared" ref="AY114:BS114" si="98">SUM(AY95:AY113)</f>
        <v>1311015235</v>
      </c>
      <c r="AZ114" s="62">
        <f t="shared" si="98"/>
        <v>0</v>
      </c>
      <c r="BA114" s="62">
        <f t="shared" si="98"/>
        <v>25544353</v>
      </c>
      <c r="BB114" s="62">
        <f t="shared" si="98"/>
        <v>243024692</v>
      </c>
      <c r="BC114" s="62">
        <f t="shared" si="98"/>
        <v>38752354</v>
      </c>
      <c r="BD114" s="62">
        <f t="shared" si="98"/>
        <v>0</v>
      </c>
      <c r="BE114" s="62">
        <f t="shared" si="98"/>
        <v>199380145</v>
      </c>
      <c r="BF114" s="62">
        <f t="shared" si="98"/>
        <v>0</v>
      </c>
      <c r="BG114" s="62">
        <f t="shared" si="98"/>
        <v>0</v>
      </c>
      <c r="BH114" s="62">
        <f t="shared" si="98"/>
        <v>0</v>
      </c>
      <c r="BI114" s="62">
        <f t="shared" si="98"/>
        <v>1940856</v>
      </c>
      <c r="BJ114" s="62">
        <f t="shared" si="98"/>
        <v>0</v>
      </c>
      <c r="BK114" s="62">
        <f t="shared" si="98"/>
        <v>0</v>
      </c>
      <c r="BL114" s="62">
        <f t="shared" si="98"/>
        <v>150544470</v>
      </c>
      <c r="BM114" s="62">
        <f t="shared" si="98"/>
        <v>42000000</v>
      </c>
      <c r="BN114" s="62">
        <f t="shared" si="98"/>
        <v>97400351</v>
      </c>
      <c r="BO114" s="62">
        <f t="shared" si="98"/>
        <v>0</v>
      </c>
      <c r="BP114" s="62">
        <f t="shared" si="98"/>
        <v>0</v>
      </c>
      <c r="BQ114" s="62">
        <f t="shared" si="98"/>
        <v>0</v>
      </c>
      <c r="BR114" s="62">
        <f t="shared" si="98"/>
        <v>0</v>
      </c>
      <c r="BS114" s="62">
        <f t="shared" si="98"/>
        <v>512428014</v>
      </c>
      <c r="BT114" s="44">
        <f t="shared" si="60"/>
        <v>0.54957805168991847</v>
      </c>
      <c r="BU114" s="62">
        <f t="shared" ref="BU114:CK114" si="99">SUM(BU95:BU113)</f>
        <v>4050551624</v>
      </c>
      <c r="BV114" s="62">
        <f t="shared" si="99"/>
        <v>0</v>
      </c>
      <c r="BW114" s="62">
        <f t="shared" si="99"/>
        <v>366965147</v>
      </c>
      <c r="BX114" s="62">
        <f t="shared" si="99"/>
        <v>670935199</v>
      </c>
      <c r="BY114" s="62">
        <f t="shared" si="99"/>
        <v>772017818</v>
      </c>
      <c r="BZ114" s="62">
        <f t="shared" si="99"/>
        <v>7736670</v>
      </c>
      <c r="CA114" s="62">
        <f t="shared" si="99"/>
        <v>11416500</v>
      </c>
      <c r="CB114" s="62">
        <f t="shared" si="99"/>
        <v>12004716</v>
      </c>
      <c r="CC114" s="62">
        <f t="shared" si="99"/>
        <v>6840985</v>
      </c>
      <c r="CD114" s="62">
        <f t="shared" si="99"/>
        <v>30665828</v>
      </c>
      <c r="CE114" s="62">
        <f t="shared" si="99"/>
        <v>0</v>
      </c>
      <c r="CF114" s="62">
        <f t="shared" si="99"/>
        <v>10153894</v>
      </c>
      <c r="CG114" s="62">
        <f t="shared" si="99"/>
        <v>0</v>
      </c>
      <c r="CH114" s="62">
        <f t="shared" si="99"/>
        <v>149455530</v>
      </c>
      <c r="CI114" s="62">
        <f t="shared" si="99"/>
        <v>141978128</v>
      </c>
      <c r="CJ114" s="62">
        <f t="shared" si="99"/>
        <v>853168889</v>
      </c>
      <c r="CK114" s="62">
        <f t="shared" si="99"/>
        <v>0</v>
      </c>
      <c r="CL114" s="62"/>
      <c r="CM114" s="62">
        <f>SUM(CM95:CM113)</f>
        <v>591018660</v>
      </c>
      <c r="CN114" s="62">
        <f>SUM(CN95:CN113)</f>
        <v>32833600</v>
      </c>
      <c r="CO114" s="62">
        <f>SUM(CO95:CO113)</f>
        <v>393360060</v>
      </c>
      <c r="CP114" s="44">
        <f t="shared" si="52"/>
        <v>0.45042194831008153</v>
      </c>
      <c r="CQ114" s="62">
        <f t="shared" ref="CQ114:DK114" si="100">SUM(CQ95:CQ113)</f>
        <v>3319742025</v>
      </c>
      <c r="CR114" s="62">
        <f t="shared" si="100"/>
        <v>181434097</v>
      </c>
      <c r="CS114" s="62">
        <f t="shared" si="100"/>
        <v>25989136</v>
      </c>
      <c r="CT114" s="62">
        <f t="shared" si="100"/>
        <v>479064801</v>
      </c>
      <c r="CU114" s="62">
        <f t="shared" si="100"/>
        <v>709384442</v>
      </c>
      <c r="CV114" s="62">
        <f t="shared" si="100"/>
        <v>73146343</v>
      </c>
      <c r="CW114" s="62">
        <f t="shared" si="100"/>
        <v>199380145</v>
      </c>
      <c r="CX114" s="62">
        <f t="shared" si="100"/>
        <v>0</v>
      </c>
      <c r="CY114" s="62">
        <f t="shared" si="100"/>
        <v>0</v>
      </c>
      <c r="CZ114" s="62">
        <f t="shared" si="100"/>
        <v>0</v>
      </c>
      <c r="DA114" s="62">
        <f t="shared" si="100"/>
        <v>1940856</v>
      </c>
      <c r="DB114" s="62">
        <f t="shared" si="100"/>
        <v>124999928</v>
      </c>
      <c r="DC114" s="62">
        <f t="shared" si="100"/>
        <v>0</v>
      </c>
      <c r="DD114" s="62">
        <f t="shared" si="100"/>
        <v>150544470</v>
      </c>
      <c r="DE114" s="62">
        <f t="shared" si="100"/>
        <v>433428875</v>
      </c>
      <c r="DF114" s="62">
        <f t="shared" si="100"/>
        <v>159824521</v>
      </c>
      <c r="DG114" s="62">
        <f t="shared" si="100"/>
        <v>0</v>
      </c>
      <c r="DH114" s="62">
        <f t="shared" si="100"/>
        <v>0</v>
      </c>
      <c r="DI114" s="62">
        <f t="shared" si="100"/>
        <v>76352999</v>
      </c>
      <c r="DJ114" s="62">
        <f t="shared" si="100"/>
        <v>251373</v>
      </c>
      <c r="DK114" s="62">
        <f t="shared" si="100"/>
        <v>704000039</v>
      </c>
      <c r="DM114" s="88"/>
      <c r="DN114" s="150" t="s">
        <v>382</v>
      </c>
      <c r="DO114" s="26">
        <v>7370293649</v>
      </c>
      <c r="DP114" s="26">
        <v>4050551624</v>
      </c>
      <c r="DQ114" s="151">
        <f t="shared" si="77"/>
        <v>0.54957805168991847</v>
      </c>
    </row>
    <row r="115" spans="1:121" ht="5.25" customHeight="1" thickTop="1" x14ac:dyDescent="0.25">
      <c r="C115" s="89"/>
      <c r="D115" s="89"/>
      <c r="E115" s="89"/>
      <c r="F115" s="89"/>
      <c r="G115" s="90"/>
      <c r="H115" s="90"/>
      <c r="I115" s="91"/>
      <c r="J115" s="90"/>
      <c r="K115" s="90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  <c r="AA115" s="92"/>
      <c r="AB115" s="93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1"/>
      <c r="AU115" s="51"/>
      <c r="AV115" s="51"/>
      <c r="AW115" s="51"/>
      <c r="AX115" s="93"/>
      <c r="AY115" s="51"/>
      <c r="AZ115" s="51"/>
      <c r="BA115" s="51"/>
      <c r="BB115" s="51"/>
      <c r="BC115" s="51"/>
      <c r="BD115" s="51"/>
      <c r="BE115" s="51"/>
      <c r="BF115" s="51"/>
      <c r="BG115" s="51"/>
      <c r="BH115" s="51"/>
      <c r="BI115" s="51"/>
      <c r="BJ115" s="51"/>
      <c r="BK115" s="51"/>
      <c r="BL115" s="51"/>
      <c r="BM115" s="51"/>
      <c r="BN115" s="51"/>
      <c r="BO115" s="51"/>
      <c r="BP115" s="51"/>
      <c r="BQ115" s="51"/>
      <c r="BR115" s="51"/>
      <c r="BS115" s="51"/>
      <c r="BT115" s="93"/>
      <c r="BU115" s="94"/>
      <c r="BV115" s="51"/>
      <c r="BW115" s="51"/>
      <c r="BX115" s="51"/>
      <c r="BY115" s="51"/>
      <c r="BZ115" s="51"/>
      <c r="CA115" s="51"/>
      <c r="CB115" s="51"/>
      <c r="CC115" s="51"/>
      <c r="CD115" s="51"/>
      <c r="CE115" s="51"/>
      <c r="CF115" s="51"/>
      <c r="CG115" s="51"/>
      <c r="CH115" s="51"/>
      <c r="CI115" s="51"/>
      <c r="CJ115" s="51"/>
      <c r="CK115" s="51"/>
      <c r="CL115" s="51"/>
      <c r="CM115" s="51"/>
      <c r="CN115" s="51"/>
      <c r="CO115" s="51"/>
      <c r="CP115" s="93"/>
      <c r="CQ115" s="51"/>
      <c r="CR115" s="51"/>
      <c r="CS115" s="51"/>
      <c r="CT115" s="51"/>
      <c r="CU115" s="51"/>
      <c r="CV115" s="51"/>
      <c r="CW115" s="51"/>
      <c r="CX115" s="51"/>
      <c r="CY115" s="51"/>
      <c r="CZ115" s="51"/>
      <c r="DA115" s="51"/>
      <c r="DB115" s="51"/>
      <c r="DC115" s="51"/>
      <c r="DD115" s="51"/>
      <c r="DE115" s="51"/>
      <c r="DF115" s="51"/>
      <c r="DG115" s="51"/>
      <c r="DH115" s="51"/>
      <c r="DI115" s="51"/>
      <c r="DJ115" s="51"/>
      <c r="DK115" s="51"/>
      <c r="DN115" s="152"/>
      <c r="DO115" s="26"/>
      <c r="DP115" s="26"/>
    </row>
    <row r="116" spans="1:121" ht="19.5" customHeight="1" x14ac:dyDescent="0.25">
      <c r="C116" s="213" t="s">
        <v>355</v>
      </c>
      <c r="D116" s="214"/>
      <c r="E116" s="215"/>
      <c r="F116" s="95"/>
      <c r="G116" s="51">
        <f t="shared" ref="G116:AA116" si="101">G24+G57+G79+G94+G114</f>
        <v>22024860201</v>
      </c>
      <c r="H116" s="51">
        <f t="shared" si="101"/>
        <v>459174006</v>
      </c>
      <c r="I116" s="51">
        <f t="shared" si="101"/>
        <v>2798954283</v>
      </c>
      <c r="J116" s="51">
        <f t="shared" si="101"/>
        <v>4000000000</v>
      </c>
      <c r="K116" s="51">
        <f t="shared" si="101"/>
        <v>2000547872</v>
      </c>
      <c r="L116" s="51">
        <f t="shared" si="101"/>
        <v>80883013</v>
      </c>
      <c r="M116" s="51">
        <f t="shared" si="101"/>
        <v>210796645</v>
      </c>
      <c r="N116" s="51">
        <f t="shared" si="101"/>
        <v>12004716</v>
      </c>
      <c r="O116" s="51">
        <f t="shared" si="101"/>
        <v>6840985</v>
      </c>
      <c r="P116" s="51">
        <f t="shared" si="101"/>
        <v>30665828</v>
      </c>
      <c r="Q116" s="51">
        <f t="shared" si="101"/>
        <v>1940856</v>
      </c>
      <c r="R116" s="51">
        <f t="shared" si="101"/>
        <v>135153822</v>
      </c>
      <c r="S116" s="51">
        <f t="shared" si="101"/>
        <v>4178203008</v>
      </c>
      <c r="T116" s="51">
        <f t="shared" si="101"/>
        <v>530450000</v>
      </c>
      <c r="U116" s="51">
        <f t="shared" si="101"/>
        <v>1071441613</v>
      </c>
      <c r="V116" s="51">
        <f t="shared" si="101"/>
        <v>1800354141</v>
      </c>
      <c r="W116" s="51">
        <f t="shared" si="101"/>
        <v>1570638184</v>
      </c>
      <c r="X116" s="51">
        <f t="shared" si="101"/>
        <v>119946741</v>
      </c>
      <c r="Y116" s="51">
        <f t="shared" si="101"/>
        <v>667371659</v>
      </c>
      <c r="Z116" s="51">
        <f t="shared" si="101"/>
        <v>33084973</v>
      </c>
      <c r="AA116" s="51">
        <f t="shared" si="101"/>
        <v>2316407856</v>
      </c>
      <c r="AB116" s="96">
        <f>+AC116/G116</f>
        <v>0.83440347690223238</v>
      </c>
      <c r="AC116" s="51">
        <f t="shared" ref="AC116:AW116" si="102">AC24+AC57+AC79+AC94+AC114</f>
        <v>18377619930</v>
      </c>
      <c r="AD116" s="51">
        <f t="shared" si="102"/>
        <v>443093108</v>
      </c>
      <c r="AE116" s="50">
        <f t="shared" si="102"/>
        <v>2645795199</v>
      </c>
      <c r="AF116" s="50">
        <f t="shared" si="102"/>
        <v>3359245909</v>
      </c>
      <c r="AG116" s="50">
        <f t="shared" si="102"/>
        <v>1886109367</v>
      </c>
      <c r="AH116" s="51">
        <f t="shared" si="102"/>
        <v>80883013</v>
      </c>
      <c r="AI116" s="51">
        <f t="shared" si="102"/>
        <v>11416500</v>
      </c>
      <c r="AJ116" s="51">
        <f t="shared" si="102"/>
        <v>12004716</v>
      </c>
      <c r="AK116" s="51">
        <f t="shared" si="102"/>
        <v>6840985</v>
      </c>
      <c r="AL116" s="51">
        <f t="shared" si="102"/>
        <v>30665828</v>
      </c>
      <c r="AM116" s="51">
        <f t="shared" si="102"/>
        <v>0</v>
      </c>
      <c r="AN116" s="51">
        <f t="shared" si="102"/>
        <v>135153822</v>
      </c>
      <c r="AO116" s="51">
        <f t="shared" si="102"/>
        <v>2951299250</v>
      </c>
      <c r="AP116" s="51">
        <f t="shared" si="102"/>
        <v>325413542</v>
      </c>
      <c r="AQ116" s="51">
        <f t="shared" si="102"/>
        <v>1029441613</v>
      </c>
      <c r="AR116" s="51">
        <f t="shared" si="102"/>
        <v>1565140669</v>
      </c>
      <c r="AS116" s="51">
        <f t="shared" si="102"/>
        <v>1539781663</v>
      </c>
      <c r="AT116" s="51">
        <f t="shared" si="102"/>
        <v>119946741</v>
      </c>
      <c r="AU116" s="51">
        <f t="shared" si="102"/>
        <v>667371659</v>
      </c>
      <c r="AV116" s="51">
        <f t="shared" si="102"/>
        <v>33084973</v>
      </c>
      <c r="AW116" s="51">
        <f t="shared" si="102"/>
        <v>1534931373</v>
      </c>
      <c r="AX116" s="97">
        <f>1-AB116</f>
        <v>0.16559652309776762</v>
      </c>
      <c r="AY116" s="51">
        <f t="shared" ref="AY116:BS116" si="103">AY24+AY57+AY79+AY94+AY114</f>
        <v>3647240271</v>
      </c>
      <c r="AZ116" s="51">
        <f t="shared" si="103"/>
        <v>16080898</v>
      </c>
      <c r="BA116" s="50">
        <f t="shared" si="103"/>
        <v>153159084</v>
      </c>
      <c r="BB116" s="50">
        <f t="shared" si="103"/>
        <v>640754091</v>
      </c>
      <c r="BC116" s="50">
        <f t="shared" si="103"/>
        <v>114438505</v>
      </c>
      <c r="BD116" s="51">
        <f t="shared" si="103"/>
        <v>0</v>
      </c>
      <c r="BE116" s="51">
        <f t="shared" si="103"/>
        <v>199380145</v>
      </c>
      <c r="BF116" s="51">
        <f t="shared" si="103"/>
        <v>0</v>
      </c>
      <c r="BG116" s="51">
        <f t="shared" si="103"/>
        <v>0</v>
      </c>
      <c r="BH116" s="51">
        <f t="shared" si="103"/>
        <v>0</v>
      </c>
      <c r="BI116" s="51">
        <f t="shared" si="103"/>
        <v>1940856</v>
      </c>
      <c r="BJ116" s="51">
        <f t="shared" si="103"/>
        <v>0</v>
      </c>
      <c r="BK116" s="51">
        <f t="shared" si="103"/>
        <v>1226903758</v>
      </c>
      <c r="BL116" s="51">
        <f t="shared" si="103"/>
        <v>205036458</v>
      </c>
      <c r="BM116" s="51">
        <f t="shared" si="103"/>
        <v>42000000</v>
      </c>
      <c r="BN116" s="51">
        <f t="shared" si="103"/>
        <v>235213472</v>
      </c>
      <c r="BO116" s="51">
        <f t="shared" si="103"/>
        <v>30856521</v>
      </c>
      <c r="BP116" s="51">
        <f t="shared" si="103"/>
        <v>0</v>
      </c>
      <c r="BQ116" s="51">
        <f t="shared" si="103"/>
        <v>0</v>
      </c>
      <c r="BR116" s="51">
        <f t="shared" si="103"/>
        <v>0</v>
      </c>
      <c r="BS116" s="51">
        <f t="shared" si="103"/>
        <v>781476483</v>
      </c>
      <c r="BT116" s="97">
        <f>+BU116/G116</f>
        <v>0.65143105754417319</v>
      </c>
      <c r="BU116" s="51">
        <f t="shared" ref="BU116:CO116" si="104">BU24+BU57+BU79+BU94+BU114</f>
        <v>14347677973</v>
      </c>
      <c r="BV116" s="51">
        <f t="shared" si="104"/>
        <v>236554614</v>
      </c>
      <c r="BW116" s="51">
        <f t="shared" si="104"/>
        <v>2391815929</v>
      </c>
      <c r="BX116" s="51">
        <f t="shared" si="104"/>
        <v>2483307200</v>
      </c>
      <c r="BY116" s="51">
        <f t="shared" si="104"/>
        <v>1185985714</v>
      </c>
      <c r="BZ116" s="51">
        <f t="shared" si="104"/>
        <v>7736670</v>
      </c>
      <c r="CA116" s="51">
        <f t="shared" si="104"/>
        <v>11416500</v>
      </c>
      <c r="CB116" s="51">
        <f t="shared" si="104"/>
        <v>12004716</v>
      </c>
      <c r="CC116" s="51">
        <f t="shared" si="104"/>
        <v>6840985</v>
      </c>
      <c r="CD116" s="51">
        <f t="shared" si="104"/>
        <v>30665828</v>
      </c>
      <c r="CE116" s="51">
        <f t="shared" si="104"/>
        <v>0</v>
      </c>
      <c r="CF116" s="51">
        <f t="shared" si="104"/>
        <v>10153894</v>
      </c>
      <c r="CG116" s="51">
        <f t="shared" si="104"/>
        <v>2680257182</v>
      </c>
      <c r="CH116" s="51">
        <f t="shared" si="104"/>
        <v>320470283</v>
      </c>
      <c r="CI116" s="51">
        <f t="shared" si="104"/>
        <v>457243876</v>
      </c>
      <c r="CJ116" s="51">
        <f t="shared" si="104"/>
        <v>1137076957</v>
      </c>
      <c r="CK116" s="51">
        <f t="shared" si="104"/>
        <v>1539700812</v>
      </c>
      <c r="CL116" s="51">
        <f t="shared" si="104"/>
        <v>44864678</v>
      </c>
      <c r="CM116" s="51">
        <f t="shared" si="104"/>
        <v>591018660</v>
      </c>
      <c r="CN116" s="51">
        <f t="shared" si="104"/>
        <v>32833600</v>
      </c>
      <c r="CO116" s="51">
        <f t="shared" si="104"/>
        <v>1167729875</v>
      </c>
      <c r="CP116" s="23">
        <f>1-BT116</f>
        <v>0.34856894245582681</v>
      </c>
      <c r="CQ116" s="51">
        <f t="shared" ref="CQ116:DK116" si="105">CQ24+CQ57+CQ79+CQ94+CQ114</f>
        <v>7677182228</v>
      </c>
      <c r="CR116" s="51">
        <f t="shared" si="105"/>
        <v>222619392</v>
      </c>
      <c r="CS116" s="51">
        <f t="shared" si="105"/>
        <v>407138354</v>
      </c>
      <c r="CT116" s="51">
        <f t="shared" si="105"/>
        <v>1516692800</v>
      </c>
      <c r="CU116" s="51">
        <f t="shared" si="105"/>
        <v>814562158</v>
      </c>
      <c r="CV116" s="51">
        <f t="shared" si="105"/>
        <v>73146343</v>
      </c>
      <c r="CW116" s="51">
        <f t="shared" si="105"/>
        <v>199380145</v>
      </c>
      <c r="CX116" s="51">
        <f t="shared" si="105"/>
        <v>0</v>
      </c>
      <c r="CY116" s="51">
        <f t="shared" si="105"/>
        <v>0</v>
      </c>
      <c r="CZ116" s="51">
        <f t="shared" si="105"/>
        <v>0</v>
      </c>
      <c r="DA116" s="51">
        <f t="shared" si="105"/>
        <v>1940856</v>
      </c>
      <c r="DB116" s="51">
        <f t="shared" si="105"/>
        <v>124999928</v>
      </c>
      <c r="DC116" s="51">
        <f t="shared" si="105"/>
        <v>1497945826</v>
      </c>
      <c r="DD116" s="51">
        <f t="shared" si="105"/>
        <v>209979717</v>
      </c>
      <c r="DE116" s="51">
        <f t="shared" si="105"/>
        <v>614197737</v>
      </c>
      <c r="DF116" s="51">
        <f t="shared" si="105"/>
        <v>663277184</v>
      </c>
      <c r="DG116" s="51">
        <f t="shared" si="105"/>
        <v>30937372</v>
      </c>
      <c r="DH116" s="51">
        <f t="shared" si="105"/>
        <v>75082063</v>
      </c>
      <c r="DI116" s="51">
        <f t="shared" si="105"/>
        <v>76352999</v>
      </c>
      <c r="DJ116" s="51">
        <f t="shared" si="105"/>
        <v>251373</v>
      </c>
      <c r="DK116" s="51">
        <f t="shared" si="105"/>
        <v>1148677981</v>
      </c>
      <c r="DN116" s="152" t="s">
        <v>15</v>
      </c>
      <c r="DO116" s="26">
        <f>DO24+DO57+DO79+DO94+DO114</f>
        <v>22024860201</v>
      </c>
      <c r="DP116" s="26">
        <f>DP24+DP57+DP79+DP94+DP114</f>
        <v>14347677973</v>
      </c>
      <c r="DQ116" s="151">
        <f>+BT116</f>
        <v>0.65143105754417319</v>
      </c>
    </row>
    <row r="117" spans="1:121" ht="5.25" customHeight="1" x14ac:dyDescent="0.25">
      <c r="C117" s="98"/>
      <c r="D117" s="98"/>
      <c r="E117" s="99"/>
      <c r="F117" s="99"/>
      <c r="G117" s="100"/>
      <c r="H117" s="100"/>
      <c r="I117" s="101"/>
      <c r="J117" s="100"/>
      <c r="K117" s="100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  <c r="AA117" s="102"/>
      <c r="AB117" s="103"/>
      <c r="AC117" s="104"/>
      <c r="AD117" s="104"/>
      <c r="AE117" s="104"/>
      <c r="AF117" s="104"/>
      <c r="AG117" s="104"/>
      <c r="AH117" s="104"/>
      <c r="AI117" s="102"/>
      <c r="AJ117" s="102"/>
      <c r="AK117" s="102"/>
      <c r="AL117" s="102"/>
      <c r="AM117" s="102"/>
      <c r="AN117" s="102"/>
      <c r="AO117" s="102"/>
      <c r="AP117" s="102"/>
      <c r="AQ117" s="102"/>
      <c r="AR117" s="102"/>
      <c r="AS117" s="102"/>
      <c r="AT117" s="102"/>
      <c r="AU117" s="102"/>
      <c r="AV117" s="102"/>
      <c r="AW117" s="102"/>
      <c r="AX117" s="103"/>
      <c r="AY117" s="104"/>
      <c r="AZ117" s="104"/>
      <c r="BA117" s="104"/>
      <c r="BB117" s="104"/>
      <c r="BC117" s="104"/>
      <c r="BD117" s="105"/>
      <c r="BE117" s="105"/>
      <c r="BF117" s="105"/>
      <c r="BG117" s="105"/>
      <c r="BH117" s="105"/>
      <c r="BI117" s="105"/>
      <c r="BJ117" s="105"/>
      <c r="BK117" s="105"/>
      <c r="BL117" s="105"/>
      <c r="BM117" s="105"/>
      <c r="BN117" s="105"/>
      <c r="BO117" s="105"/>
      <c r="BP117" s="105"/>
      <c r="BQ117" s="105"/>
      <c r="BR117" s="105"/>
      <c r="BS117" s="105"/>
      <c r="BT117" s="103"/>
      <c r="BU117" s="106"/>
      <c r="BV117" s="107"/>
      <c r="BW117" s="107"/>
      <c r="BX117" s="107"/>
      <c r="BY117" s="107"/>
      <c r="BZ117" s="102"/>
      <c r="CA117" s="102"/>
      <c r="CB117" s="102"/>
      <c r="CC117" s="102"/>
      <c r="CD117" s="102"/>
      <c r="CE117" s="102"/>
      <c r="CF117" s="102"/>
      <c r="CG117" s="102"/>
      <c r="CH117" s="102"/>
      <c r="CI117" s="102"/>
      <c r="CJ117" s="102"/>
      <c r="CK117" s="102"/>
      <c r="CL117" s="102"/>
      <c r="CM117" s="102"/>
      <c r="CN117" s="102"/>
      <c r="CO117" s="102"/>
      <c r="CP117" s="23"/>
      <c r="CQ117" s="108"/>
      <c r="CR117" s="104"/>
      <c r="CS117" s="104"/>
      <c r="CT117" s="104"/>
      <c r="CU117" s="104"/>
      <c r="CV117" s="105"/>
      <c r="CW117" s="105"/>
      <c r="CX117" s="105"/>
      <c r="CY117" s="105"/>
      <c r="CZ117" s="105"/>
      <c r="DA117" s="105"/>
      <c r="DB117" s="105"/>
      <c r="DC117" s="105"/>
      <c r="DD117" s="105"/>
      <c r="DE117" s="105"/>
      <c r="DF117" s="105"/>
      <c r="DG117" s="105"/>
      <c r="DH117" s="105"/>
      <c r="DI117" s="105"/>
      <c r="DJ117" s="105"/>
      <c r="DK117" s="105"/>
    </row>
    <row r="118" spans="1:121" ht="16.5" customHeight="1" x14ac:dyDescent="0.25">
      <c r="C118" s="109"/>
      <c r="D118" s="110" t="s">
        <v>356</v>
      </c>
      <c r="E118" s="103">
        <v>111</v>
      </c>
      <c r="F118" s="111"/>
      <c r="G118" s="112">
        <f>SUMIF($E$4:$E$113,"111",$G$4:$G$113)</f>
        <v>2258401424</v>
      </c>
      <c r="H118" s="113">
        <f>SUMIF($E$4:$E$114,"111",$H$4:$H$114)</f>
        <v>181434097</v>
      </c>
      <c r="I118" s="113">
        <f>SUMIF($E$4:$E$114,"111",$I$4:$I$114)</f>
        <v>0</v>
      </c>
      <c r="J118" s="112">
        <f>SUMIF($E$4:$E$113,"111",$J$4:$J$113)</f>
        <v>100000000</v>
      </c>
      <c r="K118" s="112">
        <f>SUMIF($E$4:$E$113,"111",$K$4:$K$113)</f>
        <v>665649946</v>
      </c>
      <c r="L118" s="111">
        <f>SUMIF($E$4:$E$114,"111",$L$4:$L$114)</f>
        <v>0</v>
      </c>
      <c r="M118" s="111">
        <f>SUMIF($E$4:$E$113,"111",$M$4:$M$113)</f>
        <v>0</v>
      </c>
      <c r="N118" s="111">
        <f>SUMIF($E$4:$E$113,"111",$N$4:$N$113)</f>
        <v>12004716</v>
      </c>
      <c r="O118" s="111">
        <f>SUMIF($E$4:$E$113,"111",$O$4:$O$113)</f>
        <v>6840985</v>
      </c>
      <c r="P118" s="111">
        <f>SUMIF($E$4:$E$113,"111",$P$4:$P$113)</f>
        <v>30665828</v>
      </c>
      <c r="Q118" s="111">
        <f>SUMIF($E$4:$E$113,"111",$Q$4:$Q$113)</f>
        <v>0</v>
      </c>
      <c r="R118" s="111">
        <f>SUMIF($E$4:$E$113,"111",$R$4:$R$113)</f>
        <v>0</v>
      </c>
      <c r="S118" s="111">
        <f>SUMIF($E$4:$E$113,"111",$S$4:$S$113)</f>
        <v>0</v>
      </c>
      <c r="T118" s="111">
        <f>SUMIF($E$4:$E$113,"111",$T$4:$T$113)</f>
        <v>100000000</v>
      </c>
      <c r="U118" s="111">
        <f>SUMIF($E$4:$E$113,"111",$U$4:$U$113)</f>
        <v>332000000</v>
      </c>
      <c r="V118" s="111">
        <f>SUMIF($E$4:$E$113,"111",$V$4:$V$113)</f>
        <v>200000000</v>
      </c>
      <c r="W118" s="111">
        <f>SUMIF($E$4:$E$113,"111",$W$4:$W$113)</f>
        <v>0</v>
      </c>
      <c r="X118" s="111"/>
      <c r="Y118" s="111">
        <f>SUMIF($E$4:$E$113,"111",$Y$4:$Y$113)</f>
        <v>0</v>
      </c>
      <c r="Z118" s="111">
        <f>SUMIF($E$4:$E$113,"111",$Z$4:$Z$113)</f>
        <v>0</v>
      </c>
      <c r="AA118" s="111">
        <f>SUMIF($E$4:$E$113,"111",$AA$4:$AA$113)</f>
        <v>629805852</v>
      </c>
      <c r="AB118" s="114">
        <f t="shared" ref="AB118:AB127" si="106">+AC118/G118</f>
        <v>0.77908103417844821</v>
      </c>
      <c r="AC118" s="25">
        <f t="shared" ref="AC118:AC124" si="107">SUM(AD118:AW118)</f>
        <v>1759477717</v>
      </c>
      <c r="AD118" s="112">
        <f>SUMIF($E$4:$E$113,"111",$AD$4:$AD$113)</f>
        <v>181434097</v>
      </c>
      <c r="AE118" s="112">
        <f>SUMIF($E$4:$E$113,"111",$AE$4:$AE$113)</f>
        <v>0</v>
      </c>
      <c r="AF118" s="112">
        <f>SUMIF($E$4:$E$113,"111",$AF$4:$AF$113)</f>
        <v>35881866</v>
      </c>
      <c r="AG118" s="112">
        <f>SUMIF($E$4:$E$113,"111",$AG$4:$AG$113)</f>
        <v>626897592</v>
      </c>
      <c r="AH118" s="112">
        <f>SUMIF($E$4:$E$113,"111",$AH$4:$AH$113)</f>
        <v>0</v>
      </c>
      <c r="AI118" s="112">
        <f>SUMIF($E$4:$E$113,"111",$AI$4:$AI$113)</f>
        <v>0</v>
      </c>
      <c r="AJ118" s="112">
        <f>SUMIF($E$4:$E$113,"111",$AJ$4:$AJ$113)</f>
        <v>12004716</v>
      </c>
      <c r="AK118" s="112">
        <f>SUMIF($E$4:$E$113,"111",$AK$4:$AK$113)</f>
        <v>6840985</v>
      </c>
      <c r="AL118" s="112">
        <f>SUMIF($E$4:$E$113,"111",$AL$4:$AL$113)</f>
        <v>30665828</v>
      </c>
      <c r="AM118" s="112">
        <f>SUMIF($E$4:$E$113,"111",$AM$4:$AM$113)</f>
        <v>0</v>
      </c>
      <c r="AN118" s="112">
        <f>SUMIF($E$4:$E$113,"111",$AN$4:$AN$113)</f>
        <v>0</v>
      </c>
      <c r="AO118" s="112">
        <f>SUMIF($E$4:$E$113,"111",$AO$4:$AO$113)</f>
        <v>0</v>
      </c>
      <c r="AP118" s="112">
        <f>SUMIF($E$4:$E$113,"111",$AP$4:$AP$113)</f>
        <v>100000000</v>
      </c>
      <c r="AQ118" s="112">
        <f>SUMIF($E$4:$E$113,"111",$AQ$4:$AQ$113)</f>
        <v>290000000</v>
      </c>
      <c r="AR118" s="112">
        <f>SUMIF($E$4:$E$113,"111",$AR$4:$AR$113)</f>
        <v>189069282</v>
      </c>
      <c r="AS118" s="112">
        <f>SUMIF($E$4:$E$113,"111",$AS$4:$AS$113)</f>
        <v>0</v>
      </c>
      <c r="AT118" s="112">
        <f>SUMIF($E$4:$E$113,"111",$AT$4:$AT$113)</f>
        <v>0</v>
      </c>
      <c r="AU118" s="112">
        <f>SUMIF($E$4:$E$113,"111",$AU$4:$AU$113)</f>
        <v>0</v>
      </c>
      <c r="AV118" s="112">
        <f>SUMIF($E$4:$E$113,"111",$AV$4:$AV$113)</f>
        <v>0</v>
      </c>
      <c r="AW118" s="112">
        <f>SUMIF($E$4:$E$113,"111",$AW$4:$AW$113)</f>
        <v>286683351</v>
      </c>
      <c r="AX118" s="97">
        <f t="shared" ref="AX118:AX127" si="108">1-AB118</f>
        <v>0.22091896582155179</v>
      </c>
      <c r="AY118" s="25">
        <f t="shared" ref="AY118:AY124" si="109">SUM(AZ118:BS118)</f>
        <v>498923707</v>
      </c>
      <c r="AZ118" s="115">
        <f>SUMIF($E$4:$E$113,"111",$AZ$4:$AZ$113)</f>
        <v>0</v>
      </c>
      <c r="BA118" s="115">
        <f>SUMIF($E$4:$E$113,"111",$BA$4:$BA$113)</f>
        <v>0</v>
      </c>
      <c r="BB118" s="115">
        <f>SUMIF($E$4:$E$113,"111",$BB$4:$BB$113)</f>
        <v>64118134</v>
      </c>
      <c r="BC118" s="115">
        <f>SUMIF($E$4:$E$113,"111",$BC$4:$BC$113)</f>
        <v>38752354</v>
      </c>
      <c r="BD118" s="115">
        <f>SUMIF($E$4:$E$113,"111",$BD$4:$BD$113)</f>
        <v>0</v>
      </c>
      <c r="BE118" s="115">
        <f>SUMIF($E$4:$E$113,"111",$BE$4:$BE$113)</f>
        <v>0</v>
      </c>
      <c r="BF118" s="115">
        <f>SUMIF($E$4:$E$113,"111",$BF$4:$BF$113)</f>
        <v>0</v>
      </c>
      <c r="BG118" s="115">
        <f>SUMIF($E$4:$E$113,"111",$BG$4:$BG$113)</f>
        <v>0</v>
      </c>
      <c r="BH118" s="115">
        <f>SUMIF($E$4:$E$113,"111",$BH$4:$BH$113)</f>
        <v>0</v>
      </c>
      <c r="BI118" s="115">
        <f>SUMIF($E$4:$E$113,"111",$BI$4:$BI$113)</f>
        <v>0</v>
      </c>
      <c r="BJ118" s="115">
        <f>SUMIF($E$4:$E$113,"111",$BJ$4:$BJ$113)</f>
        <v>0</v>
      </c>
      <c r="BK118" s="115">
        <f>SUMIF($E$4:$E$113,"111",$BK$4:$BK$113)</f>
        <v>0</v>
      </c>
      <c r="BL118" s="115">
        <f>SUMIF($E$4:$E$113,"111",$BL$4:$BL$113)</f>
        <v>0</v>
      </c>
      <c r="BM118" s="115">
        <f>SUMIF($E$4:$E$113,"111",$BM$4:$BM$113)</f>
        <v>42000000</v>
      </c>
      <c r="BN118" s="115">
        <f>SUMIF($E$4:$E$113,"111",$BN$4:$BN$113)</f>
        <v>10930718</v>
      </c>
      <c r="BO118" s="115">
        <f>SUMIF($E$4:$E$113,"111",$BO$4:$BO$113)</f>
        <v>0</v>
      </c>
      <c r="BP118" s="115">
        <f>SUMIF($E$4:$E$113,"111",$BP$4:$BP$113)</f>
        <v>0</v>
      </c>
      <c r="BQ118" s="115">
        <f>SUMIF($E$4:$E$113,"111",$BQ$4:$BQ$113)</f>
        <v>0</v>
      </c>
      <c r="BR118" s="115">
        <f>SUMIF($E$4:$E$113,"111",$BR$4:$BR$113)</f>
        <v>0</v>
      </c>
      <c r="BS118" s="116">
        <f>SUMIF($E$4:$E$113,"111",$BS$4:$BS$113)</f>
        <v>343122501</v>
      </c>
      <c r="BT118" s="117">
        <f t="shared" ref="BT118:BT127" si="110">+BU118/G118</f>
        <v>0.38166371303173602</v>
      </c>
      <c r="BU118" s="33">
        <f t="shared" ref="BU118:BU125" si="111">SUM(BV118:CO118)</f>
        <v>861949873</v>
      </c>
      <c r="BV118" s="112">
        <f>SUMIF($E$4:$E$113,"111",$BV$4:$BV$113)</f>
        <v>0</v>
      </c>
      <c r="BW118" s="112">
        <f>SUMIF($E$4:$E$113,"111",$BW$4:$BW$113)</f>
        <v>0</v>
      </c>
      <c r="BX118" s="112">
        <f>SUMIF($E$4:$E$113,"111",$BX$4:$BX$113)</f>
        <v>23731866</v>
      </c>
      <c r="BY118" s="112">
        <f>SUMIF($E$4:$E$113,"111",$BY$4:$BY$113)</f>
        <v>74160140</v>
      </c>
      <c r="BZ118" s="112">
        <f>SUMIF($E$4:$E$113,"111",$BZ$4:$BZ$113)</f>
        <v>0</v>
      </c>
      <c r="CA118" s="112">
        <f>SUMIF($E$4:$E$113,"111",$CA$4:$CA$113)</f>
        <v>0</v>
      </c>
      <c r="CB118" s="112">
        <f t="shared" ref="CB118" si="112">SUMIF($E$4:$E$113,"111",$CB$4:$CB$113)</f>
        <v>12004716</v>
      </c>
      <c r="CC118" s="112">
        <f>SUMIF($E$4:$E$113,"111",$CC$4:$CC$113)</f>
        <v>6840985</v>
      </c>
      <c r="CD118" s="112">
        <f>SUMIF($E$4:$E$113,"111",$CD$4:$CD$113)</f>
        <v>30665828</v>
      </c>
      <c r="CE118" s="112">
        <f>SUMIF($E$4:$E$113,"111",$CE$4:$CE$113)</f>
        <v>0</v>
      </c>
      <c r="CF118" s="112">
        <f>SUMIF($E$4:$E$113,"111",$CF$4:$CF$113)</f>
        <v>0</v>
      </c>
      <c r="CG118" s="112">
        <f>SUMIF($E$4:$E$113,"111",$CG$4:$CG$113)</f>
        <v>0</v>
      </c>
      <c r="CH118" s="112">
        <f>SUMIF($E$4:$E$113,"111",$CH$4:$CH$113)</f>
        <v>100000000</v>
      </c>
      <c r="CI118" s="112">
        <f>SUMIF($E$4:$E$113,"111",$CI$4:$CI$113)</f>
        <v>141978128</v>
      </c>
      <c r="CJ118" s="112">
        <f>SUMIF($E$4:$E$113,"111",$CJ$4:$CJ$113)</f>
        <v>189069282</v>
      </c>
      <c r="CK118" s="112">
        <f>SUMIF($E$4:$E$113,"111",$CK$4:$CK$113)</f>
        <v>0</v>
      </c>
      <c r="CL118" s="112">
        <f>SUMIF($E$4:$E$113,"111",$CL$4:$CL$113)</f>
        <v>0</v>
      </c>
      <c r="CM118" s="112">
        <f>SUMIF($E$4:$E$113,"111",$CM$4:$CM$113)</f>
        <v>0</v>
      </c>
      <c r="CN118" s="112">
        <f>SUMIF($E$4:$E$113,"111",$CN$4:$CN$113)</f>
        <v>0</v>
      </c>
      <c r="CO118" s="118">
        <f>SUMIF($E$4:$E$113,"111",$CO$4:$CO$113)</f>
        <v>283498928</v>
      </c>
      <c r="CP118" s="23">
        <f t="shared" ref="CP118:CP127" si="113">1-BT118</f>
        <v>0.61833628696826404</v>
      </c>
      <c r="CQ118" s="25">
        <f t="shared" ref="CQ118:CQ124" si="114">SUM(CR118:DK118)</f>
        <v>1396451551</v>
      </c>
      <c r="CR118" s="115">
        <f>SUMIF($E$4:$E$113,"111",$CR$4:$CR$113)</f>
        <v>181434097</v>
      </c>
      <c r="CS118" s="115">
        <f>SUMIF($E$4:$E$113,"111",$CS$4:$CS$113)</f>
        <v>0</v>
      </c>
      <c r="CT118" s="115">
        <f>SUMIF($E$4:$E$113,"111",$CT$4:$CT$113)</f>
        <v>76268134</v>
      </c>
      <c r="CU118" s="115">
        <f>SUMIF($E$4:$E$113,"111",$CU$4:$CU$113)</f>
        <v>591489806</v>
      </c>
      <c r="CV118" s="115">
        <f>SUMIF($E$4:$E$113,"111",$CV$4:$CV$113)</f>
        <v>0</v>
      </c>
      <c r="CW118" s="115">
        <f>SUMIF($E$4:$E$113,"111",$CW$4:$CW$113)</f>
        <v>0</v>
      </c>
      <c r="CX118" s="115">
        <f>SUMIF($E$4:$E$113,"111",$CX$4:$CX$113)</f>
        <v>0</v>
      </c>
      <c r="CY118" s="115">
        <f>SUMIF($E$4:$E$113,"111",$CY$4:$CY$113)</f>
        <v>0</v>
      </c>
      <c r="CZ118" s="115">
        <f>SUMIF($E$4:$E$113,"111",$CZ$4:$CZ$113)</f>
        <v>0</v>
      </c>
      <c r="DA118" s="119">
        <f>SUMIF($E$4:$E$113,"111",$DA$4:$DA$113)</f>
        <v>0</v>
      </c>
      <c r="DB118" s="119">
        <f>SUMIF($E$4:$E$113,"111",$DB$4:$DB$113)</f>
        <v>0</v>
      </c>
      <c r="DC118" s="119">
        <f>SUMIF($E$4:$E$113,"111",$DC$4:$DC$113)</f>
        <v>0</v>
      </c>
      <c r="DD118" s="119">
        <f>SUMIF($E$4:$E$113,"111",$DD$4:$DD$113)</f>
        <v>0</v>
      </c>
      <c r="DE118" s="119">
        <f>SUMIF($E$4:$E$113,"111",$DE$4:$DE$113)</f>
        <v>190021872</v>
      </c>
      <c r="DF118" s="119">
        <f>SUMIF($E$4:$E$113,"111",$DF$4:$DF$113)</f>
        <v>10930718</v>
      </c>
      <c r="DG118" s="119">
        <f>SUMIF($E$4:$E$113,"111",$DG$4:$DG$113)</f>
        <v>0</v>
      </c>
      <c r="DH118" s="119">
        <f>SUMIF($E$4:$E$113,"111",$DH$4:$DH$113)</f>
        <v>0</v>
      </c>
      <c r="DI118" s="119">
        <f>SUMIF($E$4:$E$113,"111",$DI$4:$DI$113)</f>
        <v>0</v>
      </c>
      <c r="DJ118" s="119">
        <f>SUMIF($E$4:$E$113,"111",$DJ$4:$DJ$113)</f>
        <v>0</v>
      </c>
      <c r="DK118" s="119">
        <f>SUMIF($E$4:$E$113,"111",$DK$4:$DK$113)</f>
        <v>346306924</v>
      </c>
    </row>
    <row r="119" spans="1:121" ht="30.75" customHeight="1" x14ac:dyDescent="0.25">
      <c r="C119" s="120"/>
      <c r="D119" s="110" t="s">
        <v>357</v>
      </c>
      <c r="E119" s="103">
        <v>211</v>
      </c>
      <c r="F119" s="111"/>
      <c r="G119" s="112">
        <f>SUMIF($E$4:$E$113,"211",$G$4:$G$113)</f>
        <v>3737298707</v>
      </c>
      <c r="H119" s="113">
        <f>SUMIF($E$4:$E$114,"211",$H$4:$H$114)</f>
        <v>0</v>
      </c>
      <c r="I119" s="113">
        <f>SUMIF($E$4:$E$114,"211",$I$4:$I$114)</f>
        <v>112000000</v>
      </c>
      <c r="J119" s="112">
        <f>SUMIF($E$4:$E$113,"211",$J$4:$J$113)</f>
        <v>1050000000</v>
      </c>
      <c r="K119" s="112">
        <f>SUMIF($E$4:$E$113,"211",$K$4:$K$113)</f>
        <v>815752314</v>
      </c>
      <c r="L119" s="111">
        <f>SUMIF($E$4:$E$113,"211",$L$4:$L$113)</f>
        <v>80883013</v>
      </c>
      <c r="M119" s="111">
        <f>SUMIF($E$4:$E$113,"211",$M$4:$M$113)</f>
        <v>210796645</v>
      </c>
      <c r="N119" s="111">
        <f>SUMIF($E$4:$E$113,"211",$N$4:$N$113)</f>
        <v>0</v>
      </c>
      <c r="O119" s="111">
        <f>SUMIF($E$4:$E$113,"211",$O$4:$O$113)</f>
        <v>0</v>
      </c>
      <c r="P119" s="111">
        <f>SUMIF($E$4:$E$113,"211",$P$4:$P$113)</f>
        <v>0</v>
      </c>
      <c r="Q119" s="111">
        <f>SUMIF($E$4:$E$113,"211",$Q$4:$Q$113)</f>
        <v>1940856</v>
      </c>
      <c r="R119" s="111">
        <f>SUMIF($E$4:$E$113,"211",$R$4:$R$113)</f>
        <v>135153822</v>
      </c>
      <c r="S119" s="111">
        <f>SUMIF($E$4:$E$113,"211",$S$4:$S$113)</f>
        <v>0</v>
      </c>
      <c r="T119" s="111">
        <f>SUMIF($E$4:$E$113,"211",$T$4:$T$113)</f>
        <v>200000000</v>
      </c>
      <c r="U119" s="111">
        <f>SUMIF($E$4:$E$113,"211",$U$4:$U$113)</f>
        <v>120224400</v>
      </c>
      <c r="V119" s="111">
        <f>SUMIF($E$4:$E$113,"211",$V$4:$V$113)</f>
        <v>559993410</v>
      </c>
      <c r="W119" s="111">
        <f>SUMIF($E$4:$E$113,"211",$W$4:$W$113)</f>
        <v>0</v>
      </c>
      <c r="X119" s="111"/>
      <c r="Y119" s="111">
        <f>SUMIF($E$4:$E$113,"211",$Y$4:$Y$113)</f>
        <v>0</v>
      </c>
      <c r="Z119" s="111">
        <f>SUMIF($E$4:$E$113,"211",$Z$4:$Z$113)</f>
        <v>0</v>
      </c>
      <c r="AA119" s="111">
        <f>SUMIF($E$4:$E$113,"211",$AA$4:$AA$113)</f>
        <v>450554247</v>
      </c>
      <c r="AB119" s="114">
        <f t="shared" si="106"/>
        <v>0.79413314633937826</v>
      </c>
      <c r="AC119" s="25">
        <f t="shared" si="107"/>
        <v>2967912781</v>
      </c>
      <c r="AD119" s="112">
        <f>SUMIF($E$4:$E$113,"211",$AD$4:$AD$113)</f>
        <v>0</v>
      </c>
      <c r="AE119" s="112">
        <f>SUMIF($E$4:$E$113,"211",$AE$4:$AE$113)</f>
        <v>110997152</v>
      </c>
      <c r="AF119" s="112">
        <f>SUMIF($E$4:$E$113,"211",$AF$4:$AF$113)</f>
        <v>871093442</v>
      </c>
      <c r="AG119" s="112">
        <f>SUMIF($E$4:$E$113,"211",$AG$4:$AG$113)</f>
        <v>815752314</v>
      </c>
      <c r="AH119" s="112">
        <f>SUMIF($E$4:$E$113,"211",$AH$4:$AH$113)</f>
        <v>80883013</v>
      </c>
      <c r="AI119" s="112">
        <f>SUMIF($E$4:$E$113,"211",$AI$4:$AI$113)</f>
        <v>11416500</v>
      </c>
      <c r="AJ119" s="112">
        <f>SUMIF($E$4:$E$113,"211",$AJ$4:$AJ$113)</f>
        <v>0</v>
      </c>
      <c r="AK119" s="112">
        <f>SUMIF($E$4:$E$113,"211",$AK$4:$AK$113)</f>
        <v>0</v>
      </c>
      <c r="AL119" s="112">
        <f>SUMIF($E$4:$E$113,"211",$AL$4:$AL$113)</f>
        <v>0</v>
      </c>
      <c r="AM119" s="112">
        <f>SUMIF($E$4:$E$113,"211",$AM$4:$AM$113)</f>
        <v>0</v>
      </c>
      <c r="AN119" s="112">
        <f>SUMIF($E$4:$E$113,"211",$AN$4:$AN$113)</f>
        <v>135153822</v>
      </c>
      <c r="AO119" s="112">
        <f>SUMIF($E$4:$E$113,"211",$AO$4:$AO$113)</f>
        <v>0</v>
      </c>
      <c r="AP119" s="112">
        <f>SUMIF($E$4:$E$113,"211",$AP$4:$AP$113)</f>
        <v>49455530</v>
      </c>
      <c r="AQ119" s="112">
        <f>SUMIF($E$4:$E$113,"211",$AQ$4:$AQ$113)</f>
        <v>120224400</v>
      </c>
      <c r="AR119" s="112">
        <f>SUMIF($E$4:$E$113,"211",$AR$4:$AR$113)</f>
        <v>476523777</v>
      </c>
      <c r="AS119" s="112">
        <f>SUMIF($E$4:$E$113,"211",$AS$4:$AS$113)</f>
        <v>0</v>
      </c>
      <c r="AT119" s="112">
        <f>SUMIF($E$4:$E$113,"211",$AT$4:$AT$113)</f>
        <v>0</v>
      </c>
      <c r="AU119" s="112">
        <f>SUMIF($E$4:$E$113,"211",$AU$4:$AU$113)</f>
        <v>0</v>
      </c>
      <c r="AV119" s="112">
        <f>SUMIF($E$4:$E$113,"211",$AV$4:$AV$113)</f>
        <v>0</v>
      </c>
      <c r="AW119" s="112">
        <f>SUMIF($E$4:$E$113,"211",$AW$4:$AW$113)</f>
        <v>296412831</v>
      </c>
      <c r="AX119" s="97">
        <f t="shared" si="108"/>
        <v>0.20586685366062174</v>
      </c>
      <c r="AY119" s="25">
        <f t="shared" si="109"/>
        <v>769385926</v>
      </c>
      <c r="AZ119" s="115">
        <f>SUMIF($E$4:$E$113,"211",$AZ$4:$AZ$113)</f>
        <v>0</v>
      </c>
      <c r="BA119" s="115">
        <f>SUMIF($E$4:$E$113,"211",$BA$4:$BA$113)</f>
        <v>1002848</v>
      </c>
      <c r="BB119" s="115">
        <f>SUMIF($E$4:$E$113,"211",$BB$4:$BB$113)</f>
        <v>178906558</v>
      </c>
      <c r="BC119" s="115">
        <f>SUMIF($E$4:$E$113,"211",$BC$4:$BC$113)</f>
        <v>0</v>
      </c>
      <c r="BD119" s="115">
        <f>SUMIF($E$4:$E$113,"211",$BD$4:$BD$113)</f>
        <v>0</v>
      </c>
      <c r="BE119" s="115">
        <f>SUMIF($E$4:$E$113,"211",$BE$4:$BE$113)</f>
        <v>199380145</v>
      </c>
      <c r="BF119" s="115">
        <f>SUMIF($E$4:$E$113,"211",$BF$4:$BF$113)</f>
        <v>0</v>
      </c>
      <c r="BG119" s="115">
        <f>SUMIF($E$4:$E$113,"211",$BG$4:$BG$113)</f>
        <v>0</v>
      </c>
      <c r="BH119" s="115">
        <f>SUMIF($E$4:$E$113,"211",$BH$4:$BH$113)</f>
        <v>0</v>
      </c>
      <c r="BI119" s="115">
        <f>SUMIF($E$4:$E$113,"211",$BI$4:$BI$113)</f>
        <v>1940856</v>
      </c>
      <c r="BJ119" s="115">
        <f>SUMIF($E$4:$E$113,"211",$BJ$4:$BJ$113)</f>
        <v>0</v>
      </c>
      <c r="BK119" s="115">
        <f>SUMIF($E$4:$E$113,"211",$BK$4:$BK$113)</f>
        <v>0</v>
      </c>
      <c r="BL119" s="115">
        <f>SUMIF($E$4:$E$113,"211",$BL$4:$BL$113)</f>
        <v>150544470</v>
      </c>
      <c r="BM119" s="115">
        <f>SUMIF($E$4:$E$113,"211",$BM$4:$BM$113)</f>
        <v>0</v>
      </c>
      <c r="BN119" s="115">
        <f>SUMIF($E$4:$E$113,"211",$BN$4:$BN$113)</f>
        <v>83469633</v>
      </c>
      <c r="BO119" s="115">
        <f>SUMIF($E$4:$E$113,"211",$BO$4:$BO$113)</f>
        <v>0</v>
      </c>
      <c r="BP119" s="115">
        <f>SUMIF($E$4:$E$113,"211",$BP$4:$BP$113)</f>
        <v>0</v>
      </c>
      <c r="BQ119" s="115">
        <f>SUMIF($E$4:$E$113,"211",$BQ$4:$BQ$113)</f>
        <v>0</v>
      </c>
      <c r="BR119" s="115">
        <f>SUMIF($E$4:$E$113,"211",$BR$4:$BR$113)</f>
        <v>0</v>
      </c>
      <c r="BS119" s="116">
        <f>SUMIF($E$4:$E$113,"211",$BS$4:$BS$113)</f>
        <v>154141416</v>
      </c>
      <c r="BT119" s="117">
        <f t="shared" si="110"/>
        <v>0.56483359145100309</v>
      </c>
      <c r="BU119" s="33">
        <f t="shared" si="111"/>
        <v>2110951851</v>
      </c>
      <c r="BV119" s="112">
        <f>SUMIF($E$4:$E$113,"211",$BV$4:$BV$113)</f>
        <v>0</v>
      </c>
      <c r="BW119" s="112">
        <f>SUMIF($E$4:$E$113,"211",$BW$4:$BW$113)</f>
        <v>110832974</v>
      </c>
      <c r="BX119" s="112">
        <f>SUMIF($E$4:$E$113,"211",$BX$4:$BX$113)</f>
        <v>647203333</v>
      </c>
      <c r="BY119" s="112">
        <f>SUMIF($E$4:$E$113,"211",$BY$4:$BY$113)</f>
        <v>697857678</v>
      </c>
      <c r="BZ119" s="112">
        <f>SUMIF($E$4:$E$113,"211",$BZ$4:$BZ$113)</f>
        <v>7736670</v>
      </c>
      <c r="CA119" s="112">
        <f>SUMIF($E$4:$E$113,"211",$CA$4:$CA$113)</f>
        <v>11416500</v>
      </c>
      <c r="CB119" s="112">
        <f>SUMIF($E$4:$E$113,"211",$CB$4:$CB$113)</f>
        <v>0</v>
      </c>
      <c r="CC119" s="112"/>
      <c r="CD119" s="112">
        <f>SUMIF($E$4:$E$113,"211",$CD$4:$CD$113)</f>
        <v>0</v>
      </c>
      <c r="CE119" s="112">
        <f>SUMIF($E$4:$E$113,"211",$CE$4:$CE$113)</f>
        <v>0</v>
      </c>
      <c r="CF119" s="112">
        <f>SUMIF($E$4:$E$113,"211",$CF$4:$CF$113)</f>
        <v>10153894</v>
      </c>
      <c r="CG119" s="112">
        <f>SUMIF($E$4:$E$113,"211",$CG$4:$CG$113)</f>
        <v>0</v>
      </c>
      <c r="CH119" s="112">
        <f>SUMIF($E$4:$E$113,"211",$CH$4:$CH$113)</f>
        <v>49455530</v>
      </c>
      <c r="CI119" s="112">
        <f>SUMIF($E$4:$E$113,"211",$CI$4:$CI$113)</f>
        <v>0</v>
      </c>
      <c r="CJ119" s="112">
        <f>SUMIF($E$4:$E$113,"211",$CJ$4:$CJ$113)</f>
        <v>468270043</v>
      </c>
      <c r="CK119" s="112">
        <f>SUMIF($E$4:$E$113,"211",$CK$4:$CK$113)</f>
        <v>0</v>
      </c>
      <c r="CL119" s="112">
        <f>SUMIF($E$4:$E$113,"211",$CL$4:$CL$113)</f>
        <v>0</v>
      </c>
      <c r="CM119" s="112">
        <f>SUMIF($E$4:$E$113,"211",$CM$4:$CM$113)</f>
        <v>0</v>
      </c>
      <c r="CN119" s="112">
        <f>SUMIF($E$4:$E$113,"211",$CN$4:$CN$113)</f>
        <v>0</v>
      </c>
      <c r="CO119" s="118">
        <f>SUMIF($E$4:$E$113,"211",$CO$4:$CO$113)</f>
        <v>108025229</v>
      </c>
      <c r="CP119" s="23">
        <f t="shared" si="113"/>
        <v>0.43516640854899691</v>
      </c>
      <c r="CQ119" s="25">
        <f t="shared" ca="1" si="114"/>
        <v>1626346856</v>
      </c>
      <c r="CR119" s="115">
        <f ca="1">SUMIF($E$4:$E$114,"211",$CR$4:$CR$113)</f>
        <v>0</v>
      </c>
      <c r="CS119" s="115">
        <f>SUMIF($E$4:$E$113,"211",$CS$4:$CS$113)</f>
        <v>1167026</v>
      </c>
      <c r="CT119" s="115">
        <f>SUMIF($E$4:$E$113,"211",$CT$4:$CT$113)</f>
        <v>402796667</v>
      </c>
      <c r="CU119" s="115">
        <f>SUMIF($E$4:$E$113,"211",$CU$4:$CU$113)</f>
        <v>117894636</v>
      </c>
      <c r="CV119" s="115">
        <f>SUMIF($E$4:$E$113,"211",$CV$4:$CV$113)</f>
        <v>73146343</v>
      </c>
      <c r="CW119" s="115">
        <f>SUMIF($E$4:$E$113,"211",$CW$4:$CW$113)</f>
        <v>199380145</v>
      </c>
      <c r="CX119" s="115">
        <f>SUMIF($E$4:$E$113,"211",$CX$4:$CX$113)</f>
        <v>0</v>
      </c>
      <c r="CY119" s="115">
        <f>SUMIF($E$4:$E$113,"211",$CY$4:$CY$113)</f>
        <v>0</v>
      </c>
      <c r="CZ119" s="119">
        <f>SUMIF($E$4:$E$113,"211",$CZ$4:$CZ$113)</f>
        <v>0</v>
      </c>
      <c r="DA119" s="119">
        <f>SUMIF($E$4:$E$113,"211",$DA$4:$DA$113)</f>
        <v>1940856</v>
      </c>
      <c r="DB119" s="119">
        <f>SUMIF($E$4:$E$113,"211",$DB$4:$DB$113)</f>
        <v>124999928</v>
      </c>
      <c r="DC119" s="119">
        <f>SUMIF($E$4:$E$113,"211",$DC$4:$DC$113)</f>
        <v>0</v>
      </c>
      <c r="DD119" s="119">
        <f>SUMIF($E$4:$E$113,"211",$DD$4:$DD$113)</f>
        <v>150544470</v>
      </c>
      <c r="DE119" s="119">
        <f>SUMIF($E$4:$E$113,"211",$DE$4:$DE$113)</f>
        <v>120224400</v>
      </c>
      <c r="DF119" s="119">
        <f>SUMIF($E$4:$E$113,"211",$DF$4:$DF$113)</f>
        <v>91723367</v>
      </c>
      <c r="DG119" s="119">
        <f>SUMIF($E$4:$E$113,"211",$DG$4:$DG$113)</f>
        <v>0</v>
      </c>
      <c r="DH119" s="119">
        <f>SUMIF($E$4:$E$113,"211",$DH$4:$DH$113)</f>
        <v>0</v>
      </c>
      <c r="DI119" s="119">
        <f>SUMIF($E$4:$E$113,"211",$DI$4:$DI$113)</f>
        <v>0</v>
      </c>
      <c r="DJ119" s="119">
        <f>SUMIF($E$4:$E$113,"211",$DJ$4:$DJ$113)</f>
        <v>0</v>
      </c>
      <c r="DK119" s="119">
        <f>SUMIF($E$4:$E$113,"211",$DK$4:$DK$113)</f>
        <v>342529018</v>
      </c>
      <c r="DN119" s="26"/>
      <c r="DO119" s="148" t="s">
        <v>375</v>
      </c>
      <c r="DP119" s="147" t="s">
        <v>376</v>
      </c>
      <c r="DQ119" s="149" t="s">
        <v>377</v>
      </c>
    </row>
    <row r="120" spans="1:121" ht="16.5" customHeight="1" x14ac:dyDescent="0.25">
      <c r="C120" s="120"/>
      <c r="D120" s="110" t="s">
        <v>358</v>
      </c>
      <c r="E120" s="103">
        <v>310</v>
      </c>
      <c r="F120" s="111"/>
      <c r="G120" s="112">
        <f>SUMIF($E$4:$E$113,"310",$G$4:$G$114)</f>
        <v>787030623</v>
      </c>
      <c r="H120" s="113">
        <f>SUMIF($E$4:$E$113,"310",$H$4:$H$113)</f>
        <v>0</v>
      </c>
      <c r="I120" s="113">
        <f>SUMIF($E$4:$E$113,"310",$I$4:$I$113)</f>
        <v>290000000</v>
      </c>
      <c r="J120" s="112">
        <f>SUMIF($E$4:$E$113,"310",$J$4:$J$113)</f>
        <v>0</v>
      </c>
      <c r="K120" s="112">
        <f>SUMIF($E$4:$E$113,"310",$K$4:$K$113)</f>
        <v>209530623</v>
      </c>
      <c r="L120" s="111">
        <f>SUMIF($E$4:$E$113,"310",$L$4:$L$113)</f>
        <v>0</v>
      </c>
      <c r="M120" s="111">
        <f>SUMIF($E$4:$E$113,"310",$M$4:$M$113)</f>
        <v>0</v>
      </c>
      <c r="N120" s="111">
        <f>SUMIF($E$4:$E$113,"310",$N$4:$N$113)</f>
        <v>0</v>
      </c>
      <c r="O120" s="111">
        <f>SUMIF($E$4:$E$113,"310",$O$4:$O$113)</f>
        <v>0</v>
      </c>
      <c r="P120" s="111">
        <f>SUMIF($E$4:$E$113,"310",$P$4:$P$113)</f>
        <v>0</v>
      </c>
      <c r="Q120" s="111">
        <f>SUMIF($E$4:$E$113,"310",$Q$4:$Q$113)</f>
        <v>0</v>
      </c>
      <c r="R120" s="111">
        <f>SUMIF($E$4:$E$113,"310",$R$4:$R$113)</f>
        <v>0</v>
      </c>
      <c r="S120" s="111">
        <f>SUMIF($E$4:$E$113,"310",$S$4:$S$113)</f>
        <v>0</v>
      </c>
      <c r="T120" s="111">
        <f>SUMIF($E$4:$E$113,"310",$T$4:$T$113)</f>
        <v>0</v>
      </c>
      <c r="U120" s="111">
        <f>SUMIF($E$4:$E$113,"310",$U$4:$U$113)</f>
        <v>0</v>
      </c>
      <c r="V120" s="111">
        <f>SUMIF($E$4:$E$113,"310",$V$4:$V$113)</f>
        <v>200000000</v>
      </c>
      <c r="W120" s="111">
        <f>SUMIF($E$4:$E$106,"310",$W$4:$W$106)</f>
        <v>0</v>
      </c>
      <c r="X120" s="111"/>
      <c r="Y120" s="111">
        <f>SUMIF($E$4:$E$113,"310",$Y$4:$Y$113)</f>
        <v>0</v>
      </c>
      <c r="Z120" s="111">
        <f>SUMIF($E$4:$E$113,"310",$Z$4:$Z$113)</f>
        <v>0</v>
      </c>
      <c r="AA120" s="111">
        <f>SUMIF($E$4:$E$113,"310",$AA$4:$AA$113)</f>
        <v>87500000</v>
      </c>
      <c r="AB120" s="114">
        <f t="shared" si="106"/>
        <v>0.80118003235561519</v>
      </c>
      <c r="AC120" s="33">
        <f t="shared" si="107"/>
        <v>630553220</v>
      </c>
      <c r="AD120" s="112">
        <f>SUMIF($E$4:$E$113,"310",$AD$4:$AD$113)</f>
        <v>0</v>
      </c>
      <c r="AE120" s="112">
        <f>SUMIF($E$4:$E$113,"310",$AE$4:$AE$113)</f>
        <v>214124131</v>
      </c>
      <c r="AF120" s="112">
        <f>SUMIF($E$4:$E$113,"310",$AF$4:$AF$113)</f>
        <v>0</v>
      </c>
      <c r="AG120" s="112">
        <f>SUMIF($E$4:$E$113,"310",$AG$4:$AG$113)</f>
        <v>166793186</v>
      </c>
      <c r="AH120" s="112">
        <f>SUMIF($E$4:$E$113,"310",$AH$4:$AH$113)</f>
        <v>0</v>
      </c>
      <c r="AI120" s="112">
        <f>SUMIF($E$4:$E$113,"310",$AI$4:$AI$113)</f>
        <v>0</v>
      </c>
      <c r="AJ120" s="112">
        <f>SUMIF($E$4:$E$113,"310",$AJ$4:$AJ$113)</f>
        <v>0</v>
      </c>
      <c r="AK120" s="112">
        <f>SUMIF($E$4:$E$113,"310",$AK$4:$AK$113)</f>
        <v>0</v>
      </c>
      <c r="AL120" s="112">
        <f>SUMIF($E$4:$E$113,"310",$AL$4:$AL$113)</f>
        <v>0</v>
      </c>
      <c r="AM120" s="112">
        <f>SUMIF($E$4:$E$113,"310",$AM$4:$AM$113)</f>
        <v>0</v>
      </c>
      <c r="AN120" s="112">
        <f>SUMIF($E$4:$E$113,"310",$AN$4:$AN$113)</f>
        <v>0</v>
      </c>
      <c r="AO120" s="112">
        <f>SUMIF($E$4:$E$113,"310",$AO$4:$AO$113)</f>
        <v>0</v>
      </c>
      <c r="AP120" s="112">
        <f>SUMIF($E$4:$E$113,"310",$AP$4:$AP$113)</f>
        <v>0</v>
      </c>
      <c r="AQ120" s="112">
        <f>SUMIF($E$4:$E$113,"310",$AQ$4:$AQ$113)</f>
        <v>0</v>
      </c>
      <c r="AR120" s="112">
        <f>SUMIF($E$4:$E$113,"310",$AR$4:$AR$113)</f>
        <v>200000000</v>
      </c>
      <c r="AS120" s="112">
        <f>SUMIF($E$4:$E$113,"310",$AS$4:$AS$113)</f>
        <v>0</v>
      </c>
      <c r="AT120" s="112">
        <f>SUMIF($E$4:$E$113,"310",$AT$4:$AT$113)</f>
        <v>0</v>
      </c>
      <c r="AU120" s="112">
        <f>SUMIF($E$4:$E$113,"310",$AU$4:$AU$113)</f>
        <v>0</v>
      </c>
      <c r="AV120" s="112">
        <f>SUMIF($E$4:$E$113,"310",$AV$4:$AV$113)</f>
        <v>0</v>
      </c>
      <c r="AW120" s="112">
        <f>SUMIF($E$4:$E$113,"310",$AW$4:$AW$113)</f>
        <v>49635903</v>
      </c>
      <c r="AX120" s="97">
        <f t="shared" si="108"/>
        <v>0.19881996764438481</v>
      </c>
      <c r="AY120" s="25">
        <f t="shared" si="109"/>
        <v>156477403</v>
      </c>
      <c r="AZ120" s="115">
        <f>SUMIF($E$4:$E$113,"310",$AZ$4:$AZ$113)</f>
        <v>0</v>
      </c>
      <c r="BA120" s="115">
        <f>SUMIF($E$4:$E$113,"310",$BA$4:$BA$113)</f>
        <v>75875869</v>
      </c>
      <c r="BB120" s="115">
        <f>SUMIF($E$4:$E$113,"310",$BB$4:$BB$113)</f>
        <v>0</v>
      </c>
      <c r="BC120" s="115">
        <f>SUMIF($E$4:$E$113,"310",$BC$4:$BC$113)</f>
        <v>42737437</v>
      </c>
      <c r="BD120" s="115">
        <f>SUMIF($E$4:$E$113,"310",$BD$4:$BD$113)</f>
        <v>0</v>
      </c>
      <c r="BE120" s="115">
        <f>SUMIF($E$4:$E$113,"310",$BE$4:$BE$113)</f>
        <v>0</v>
      </c>
      <c r="BF120" s="115">
        <f>SUMIF($E$4:$E$113,"310",$BF$4:$BF$113)</f>
        <v>0</v>
      </c>
      <c r="BG120" s="115">
        <f>SUMIF($E$4:$E$113,"310",$BG$4:$BG$113)</f>
        <v>0</v>
      </c>
      <c r="BH120" s="115">
        <f>SUMIF($E$4:$E$113,"310",$BH$4:$BH$113)</f>
        <v>0</v>
      </c>
      <c r="BI120" s="115">
        <f>SUMIF($E$4:$E$113,"310",$BI$4:$BI$113)</f>
        <v>0</v>
      </c>
      <c r="BJ120" s="115">
        <f>SUMIF($E$4:$E$113,"310",$BJ$4:$BJ$113)</f>
        <v>0</v>
      </c>
      <c r="BK120" s="115">
        <f>SUMIF($E$4:$E$113,"310",$BK$4:$BK$113)</f>
        <v>0</v>
      </c>
      <c r="BL120" s="115">
        <f>SUMIF($E$4:$E$113,"310",$BL$4:$BL$113)</f>
        <v>0</v>
      </c>
      <c r="BM120" s="115">
        <f>SUMIF($E$4:$E$113,"310",$BM$4:$BM$113)</f>
        <v>0</v>
      </c>
      <c r="BN120" s="115">
        <f>SUMIF($E$4:$E$113,"310",$BN$4:$BN$113)</f>
        <v>0</v>
      </c>
      <c r="BO120" s="115">
        <f>SUMIF($E$4:$E$113,"310",$BO$4:$BO$113)</f>
        <v>0</v>
      </c>
      <c r="BP120" s="115">
        <f>SUMIF($E$4:$E$113,"310",$BP$4:$BP$113)</f>
        <v>0</v>
      </c>
      <c r="BQ120" s="115">
        <f>SUMIF($E$4:$E$113,"310",$BQ$4:$BQ$113)</f>
        <v>0</v>
      </c>
      <c r="BR120" s="115">
        <f>SUMIF($E$4:$E$113,"310",$BR$4:$BR$113)</f>
        <v>0</v>
      </c>
      <c r="BS120" s="116">
        <f>SUMIF($E$4:$E$113,"310",$BS$4:$BS$113)</f>
        <v>37864097</v>
      </c>
      <c r="BT120" s="117">
        <f t="shared" si="110"/>
        <v>0.56349079062454732</v>
      </c>
      <c r="BU120" s="33">
        <f t="shared" si="111"/>
        <v>443484508</v>
      </c>
      <c r="BV120" s="112">
        <f>SUMIF($E$4:$E$113,"310",$BV$4:$BV$113)</f>
        <v>0</v>
      </c>
      <c r="BW120" s="112">
        <f>SUMIF($E$4:$E$113,"310",$BW$4:$BW$113)</f>
        <v>128905954</v>
      </c>
      <c r="BX120" s="112">
        <f>SUMIF($E$4:$E$113,"310",$BX$4:$BX$113)</f>
        <v>0</v>
      </c>
      <c r="BY120" s="112">
        <f>SUMIF($E$4:$E$113,"310",$BY$4:$BY$113)</f>
        <v>143552694</v>
      </c>
      <c r="BZ120" s="112">
        <f>SUMIF($E$4:$E$113,"310",$BZ$4:$BZ$113)</f>
        <v>0</v>
      </c>
      <c r="CA120" s="112">
        <f>SUMIF($E$4:$E$113,"310",$CA$4:$CA$113)</f>
        <v>0</v>
      </c>
      <c r="CB120" s="112">
        <f>SUMIF($E$4:$E$113,"310",$CB$4:$CB$113)</f>
        <v>0</v>
      </c>
      <c r="CC120" s="112"/>
      <c r="CD120" s="112">
        <f>SUMIF($E$4:$E$113,"310",$CD$4:$CD$113)</f>
        <v>0</v>
      </c>
      <c r="CE120" s="112">
        <f>SUMIF($E$4:$E$113,"310",$CE$4:$CE$113)</f>
        <v>0</v>
      </c>
      <c r="CF120" s="112">
        <f>SUMIF($E$4:$E$113,"310",$CF$4:$CF$113)</f>
        <v>0</v>
      </c>
      <c r="CG120" s="112">
        <f>SUMIF($E$4:$E$113,"310",$CG$4:$CG$113)</f>
        <v>0</v>
      </c>
      <c r="CH120" s="112">
        <f>SUMIF($E$4:$E$113,"310",$CH$4:$CH$113)</f>
        <v>0</v>
      </c>
      <c r="CI120" s="112">
        <f>SUMIF($E$4:$E$113,"310",$CI$4:$CI$113)</f>
        <v>0</v>
      </c>
      <c r="CJ120" s="112">
        <f>SUMIF($E$4:$E$113,"310",$CJ$4:$CJ$113)</f>
        <v>145829564</v>
      </c>
      <c r="CK120" s="112">
        <f>SUMIF($E$4:$E$113,"310",$CK$4:$CK$113)</f>
        <v>0</v>
      </c>
      <c r="CL120" s="112">
        <f>SUMIF($E$4:$E$113,"310",$CL$4:$CL$113)</f>
        <v>0</v>
      </c>
      <c r="CM120" s="112">
        <f>SUMIF($E$4:$E$113,"310",$CM$4:$CM$113)</f>
        <v>0</v>
      </c>
      <c r="CN120" s="112">
        <f>SUMIF($E$4:$E$113,"310",$CN$4:$CN$113)</f>
        <v>0</v>
      </c>
      <c r="CO120" s="118">
        <f>SUMIF($E$4:$E$113,"310",$CO$4:$CO$113)</f>
        <v>25196296</v>
      </c>
      <c r="CP120" s="23">
        <f t="shared" si="113"/>
        <v>0.43650920937545268</v>
      </c>
      <c r="CQ120" s="25">
        <f t="shared" si="114"/>
        <v>343546115</v>
      </c>
      <c r="CR120" s="115">
        <f>SUMIF($E$4:$E$113,"310",$CR$4:$CR$113)</f>
        <v>0</v>
      </c>
      <c r="CS120" s="115">
        <f>SUMIF($E$4:$E$113,"310",$CS$4:$CS$113)</f>
        <v>161094046</v>
      </c>
      <c r="CT120" s="115">
        <f>SUMIF($E$4:$E$113,"310",$CT$4:$CT$113)</f>
        <v>0</v>
      </c>
      <c r="CU120" s="115">
        <f>SUMIF($E$4:$E$113,"310",$CU$4:$CU$113)</f>
        <v>65977929</v>
      </c>
      <c r="CV120" s="115">
        <f>SUMIF($E$4:$E$113,"310",$CV$4:$CV$113)</f>
        <v>0</v>
      </c>
      <c r="CW120" s="115">
        <f>SUMIF($E$4:$E$113,"310",$CW$4:$CW$113)</f>
        <v>0</v>
      </c>
      <c r="CX120" s="115">
        <f>SUMIF($E$4:$E$113,"310",$CX$4:$CX$113)</f>
        <v>0</v>
      </c>
      <c r="CY120" s="115">
        <f>SUMIF($E$4:$E$113,"310",$CY$4:$CY$113)</f>
        <v>0</v>
      </c>
      <c r="CZ120" s="119">
        <f>SUMIF($E$4:$E$113,"310",$CZ$4:$CZ$113)</f>
        <v>0</v>
      </c>
      <c r="DA120" s="119">
        <f>SUMIF($E$4:$E$113,"310",$DA$4:$DA$113)</f>
        <v>0</v>
      </c>
      <c r="DB120" s="119">
        <f>SUMIF($E$4:$E$113,"310",$DB$4:$DB$113)</f>
        <v>0</v>
      </c>
      <c r="DC120" s="119">
        <f>SUMIF($E$4:$E$113,"310",$DC$4:$DC$113)</f>
        <v>0</v>
      </c>
      <c r="DD120" s="119">
        <f>SUMIF($E$4:$E$113,"310",$DD$4:$DD$113)</f>
        <v>0</v>
      </c>
      <c r="DE120" s="119">
        <f>SUMIF($E$4:$E$113,"310",$DE$4:$DE$113)</f>
        <v>0</v>
      </c>
      <c r="DF120" s="119">
        <f>SUMIF($E$4:$E$113,"310",$DF$4:$DF$113)</f>
        <v>54170436</v>
      </c>
      <c r="DG120" s="119">
        <f>SUMIF($E$4:$E$113,"310",$DG$4:$DG$113)</f>
        <v>0</v>
      </c>
      <c r="DH120" s="119">
        <f>SUMIF($E$4:$E$113,"310",$DH$4:$DH$113)</f>
        <v>0</v>
      </c>
      <c r="DI120" s="119">
        <f>SUMIF($E$4:$E$113,"310",$DI$4:$DI$113)</f>
        <v>0</v>
      </c>
      <c r="DJ120" s="119">
        <f>SUMIF($E$4:$E$113,"310",$DJ$4:$DJ$113)</f>
        <v>0</v>
      </c>
      <c r="DK120" s="119">
        <f>SUMIF($E$4:$E$113,"310",$DK$4:$DK$113)</f>
        <v>62303704</v>
      </c>
      <c r="DN120" s="150" t="s">
        <v>383</v>
      </c>
      <c r="DO120" s="26">
        <v>2258401424</v>
      </c>
      <c r="DP120" s="26">
        <v>861949873</v>
      </c>
      <c r="DQ120" s="151">
        <f>+BT118</f>
        <v>0.38166371303173602</v>
      </c>
    </row>
    <row r="121" spans="1:121" x14ac:dyDescent="0.25">
      <c r="C121" s="121"/>
      <c r="D121" s="110" t="s">
        <v>359</v>
      </c>
      <c r="E121" s="103">
        <v>410</v>
      </c>
      <c r="F121" s="111"/>
      <c r="G121" s="112">
        <f>SUMIF($E$4:$E$113,"410",$G$4:$G$113)</f>
        <v>7127077871</v>
      </c>
      <c r="H121" s="113">
        <f>SUMIF($E$4:$E$113,"410",$H$4:$H$113)</f>
        <v>0</v>
      </c>
      <c r="I121" s="113">
        <f>SUMIF($E$4:$E$114,"410",$I$4:$I$114)</f>
        <v>500000000</v>
      </c>
      <c r="J121" s="112">
        <f>SUMIF($E$4:$E$113,"410",$J$4:$J$113)</f>
        <v>2550000000</v>
      </c>
      <c r="K121" s="112">
        <f>SUMIF($E$4:$E$113,"410",$K$4:$K$113)</f>
        <v>234297558</v>
      </c>
      <c r="L121" s="111">
        <f>SUMIF($E$4:$E$113,"410",$L$4:$L$113)</f>
        <v>0</v>
      </c>
      <c r="M121" s="111">
        <f>SUMIF($E$4:$E$113,"410",$M$4:$M$113)</f>
        <v>0</v>
      </c>
      <c r="N121" s="111">
        <f>SUMIF($E$4:$E$113,"410",$N$4:$N$113)</f>
        <v>0</v>
      </c>
      <c r="O121" s="111">
        <f>SUMIF($E$4:$E$113,"410",$O$4:$O$113)</f>
        <v>0</v>
      </c>
      <c r="P121" s="111">
        <f>SUMIF($E$4:$E$113,"410",$P$4:$P$113)</f>
        <v>0</v>
      </c>
      <c r="Q121" s="111">
        <f>SUMIF($E$4:$E$113,"410",$Q$4:$Q$113)</f>
        <v>0</v>
      </c>
      <c r="R121" s="111">
        <f>SUMIF($E$4:$E$113,"410",$R$4:$R$113)</f>
        <v>0</v>
      </c>
      <c r="S121" s="111">
        <f>SUMIF($E$4:$E$113,"410",$S$4:$S$113)</f>
        <v>3157557814</v>
      </c>
      <c r="T121" s="111">
        <f>SUMIF($E$4:$E$113,"410",$T$4:$T$113)</f>
        <v>0</v>
      </c>
      <c r="U121" s="111">
        <f>SUMIF($E$4:$E$113,"410",$U$4:$U$113)</f>
        <v>0</v>
      </c>
      <c r="V121" s="111">
        <f>SUMIF($E$4:$E$106,"410",$V$4:$V$106)</f>
        <v>427275758</v>
      </c>
      <c r="W121" s="111">
        <f>SUMIF($E$4:$E$106,"410",$W$4:$W$106)</f>
        <v>0</v>
      </c>
      <c r="X121" s="111">
        <f>SUMIF($E$4:$E$113,"410",$X$4:$X$113)</f>
        <v>119946741</v>
      </c>
      <c r="Y121" s="111">
        <f>SUMIF($E$4:$E$113,"410",$Y$4:$Y$113)</f>
        <v>0</v>
      </c>
      <c r="Z121" s="111">
        <f>SUMIF($E$4:$E$113,"410",$Z$4:$Z$113)</f>
        <v>0</v>
      </c>
      <c r="AA121" s="111">
        <f>SUMIF($E$4:$E$113,"410",$AA$4:$AA$113)</f>
        <v>138000000</v>
      </c>
      <c r="AB121" s="114">
        <f t="shared" si="106"/>
        <v>0.78588342899838648</v>
      </c>
      <c r="AC121" s="25">
        <f t="shared" si="107"/>
        <v>5601052396</v>
      </c>
      <c r="AD121" s="112">
        <f>SUMIF($E$4:$E$113,"410",$AD$4:$AD$113)</f>
        <v>0</v>
      </c>
      <c r="AE121" s="112">
        <f>SUMIF($E$4:$E$113,"410",$AE$4:$AE$113)</f>
        <v>471762012</v>
      </c>
      <c r="AF121" s="112">
        <f>SUMIF($E$4:$E$113,"410",$AF$4:$AF$113)</f>
        <v>2209904030</v>
      </c>
      <c r="AG121" s="112">
        <f>SUMIF($E$4:$E$113,"410",$AG$4:$AG$113)</f>
        <v>209836688</v>
      </c>
      <c r="AH121" s="112">
        <f>SUMIF($E$4:$E$113,"410",$AH$4:$AH$113)</f>
        <v>0</v>
      </c>
      <c r="AI121" s="112">
        <f>SUMIF($E$4:$E$113,"410",$AI$4:$AI$113)</f>
        <v>0</v>
      </c>
      <c r="AJ121" s="112">
        <f>SUMIF($E$4:$E$113,"410",$AJ$4:$AJ$113)</f>
        <v>0</v>
      </c>
      <c r="AK121" s="112">
        <f>SUMIF($E$4:$E$113,"410",$AK$4:$AK$113)</f>
        <v>0</v>
      </c>
      <c r="AL121" s="112">
        <f>SUMIF($E$4:$E$113,"410",$AL$4:$AL$113)</f>
        <v>0</v>
      </c>
      <c r="AM121" s="112">
        <f>SUMIF($E$4:$E$113,"410",$AM$4:$AM$113)</f>
        <v>0</v>
      </c>
      <c r="AN121" s="112">
        <f>SUMIF($E$4:$E$113,"410",$AN$4:$AN$113)</f>
        <v>0</v>
      </c>
      <c r="AO121" s="112">
        <f>SUMIF($E$4:$E$113,"410",$AO$4:$AO$113)</f>
        <v>2170553330</v>
      </c>
      <c r="AP121" s="112">
        <f>SUMIF($E$4:$E$113,"410",$AP$4:$AP$113)</f>
        <v>0</v>
      </c>
      <c r="AQ121" s="112">
        <f>SUMIF($E$4:$E$113,"410",$AQ$4:$AQ$113)</f>
        <v>0</v>
      </c>
      <c r="AR121" s="112">
        <f>SUMIF($E$4:$E$113,"410",$AR$4:$AR$113)</f>
        <v>329664409</v>
      </c>
      <c r="AS121" s="112">
        <f>SUMIF($E$4:$E$113,"410",$AS$4:$AS$113)</f>
        <v>0</v>
      </c>
      <c r="AT121" s="112">
        <f>SUMIF($E$4:$E$113,"410",$AT$4:$AT$113)</f>
        <v>119946741</v>
      </c>
      <c r="AU121" s="112">
        <f>SUMIF($E$4:$E$113,"410",$AU$4:$AU$113)</f>
        <v>0</v>
      </c>
      <c r="AV121" s="112">
        <f>SUMIF($E$4:$E$113,"410",$AV$4:$AV$113)</f>
        <v>0</v>
      </c>
      <c r="AW121" s="112">
        <f>SUMIF($E$4:$E$113,"410",$AW$4:$AW$113)</f>
        <v>89385186</v>
      </c>
      <c r="AX121" s="97">
        <f t="shared" si="108"/>
        <v>0.21411657100161352</v>
      </c>
      <c r="AY121" s="25">
        <f t="shared" si="109"/>
        <v>1526025475</v>
      </c>
      <c r="AZ121" s="115">
        <f>SUMIF($E$4:$E$113,"410",$AZ$4:$AZ$113)</f>
        <v>0</v>
      </c>
      <c r="BA121" s="115">
        <f>SUMIF($E$4:$E$113,"410",$BA$4:$BA$113)</f>
        <v>28237988</v>
      </c>
      <c r="BB121" s="115">
        <f>SUMIF($E$4:$E$113,"410",$BB$4:$BB$113)</f>
        <v>340095970</v>
      </c>
      <c r="BC121" s="115">
        <f>SUMIF($E$4:$E$113,"410",$BC$4:$BC$113)</f>
        <v>24460870</v>
      </c>
      <c r="BD121" s="115">
        <f>SUMIF($E$4:$E$113,"410",$BD$4:$BD$113)</f>
        <v>0</v>
      </c>
      <c r="BE121" s="115">
        <f>SUMIF($E$4:$E$113,"410",$BE$4:$BE$113)</f>
        <v>0</v>
      </c>
      <c r="BF121" s="115">
        <f>SUMIF($E$4:$E$113,"410",$BF$4:$BF$113)</f>
        <v>0</v>
      </c>
      <c r="BG121" s="115">
        <f>SUMIF($E$4:$E$113,"410",$BG$4:$BG$113)</f>
        <v>0</v>
      </c>
      <c r="BH121" s="115">
        <f>SUMIF($E$4:$E$113,"410",$BH$4:$BH$113)</f>
        <v>0</v>
      </c>
      <c r="BI121" s="115">
        <f>SUMIF($E$4:$E$113,"410",$BI$4:$BI$113)</f>
        <v>0</v>
      </c>
      <c r="BJ121" s="115">
        <f>SUMIF($E$4:$E$113,"410",$BJ$4:$BJ$113)</f>
        <v>0</v>
      </c>
      <c r="BK121" s="115">
        <f>SUMIF($E$4:$E$113,"410",$BK$4:$BK$113)</f>
        <v>987004484</v>
      </c>
      <c r="BL121" s="115">
        <f>SUMIF($E$4:$E$113,"410",$BL$4:$BL$113)</f>
        <v>0</v>
      </c>
      <c r="BM121" s="115">
        <f>SUMIF($E$4:$E$113,"410",$BM$4:$BM$113)</f>
        <v>0</v>
      </c>
      <c r="BN121" s="115">
        <f>SUMIF($E$4:$E$113,"410",$BN$4:$BN$113)</f>
        <v>97611349</v>
      </c>
      <c r="BO121" s="115">
        <f>SUMIF($E$4:$E$113,"510",$BO$4:$BO$113)</f>
        <v>0</v>
      </c>
      <c r="BP121" s="115">
        <f>SUMIF($E$4:$E$113,"410",$BP$4:$BP$113)</f>
        <v>0</v>
      </c>
      <c r="BQ121" s="115">
        <f>SUMIF($E$4:$E$113,"410",$BQ$4:$BQ$113)</f>
        <v>0</v>
      </c>
      <c r="BR121" s="115">
        <f>SUMIF($E$4:$E$113,"410",$BR$4:$BR$113)</f>
        <v>0</v>
      </c>
      <c r="BS121" s="116">
        <f>SUMIF($E$4:$E$113,"410",$BS$4:$BS$113)</f>
        <v>48614814</v>
      </c>
      <c r="BT121" s="117">
        <f t="shared" si="110"/>
        <v>0.63066378863197914</v>
      </c>
      <c r="BU121" s="25">
        <f t="shared" si="111"/>
        <v>4494789932</v>
      </c>
      <c r="BV121" s="112">
        <f>SUMIF($E$4:$E$113,"410",$BV$4:$BV$113)</f>
        <v>0</v>
      </c>
      <c r="BW121" s="112">
        <f>SUMIF($E$4:$E$113,"410",$BW$4:$BW$113)</f>
        <v>439799797</v>
      </c>
      <c r="BX121" s="112">
        <f>SUMIF($E$4:$E$113,"410",$BX$4:$BX$113)</f>
        <v>1672311308</v>
      </c>
      <c r="BY121" s="112">
        <f>SUMIF($E$4:$E$113,"410",$BY$4:$BY$113)</f>
        <v>209836688</v>
      </c>
      <c r="BZ121" s="112">
        <f>SUMIF($E$4:$E$113,"410",$BZ$4:$BZ$113)</f>
        <v>0</v>
      </c>
      <c r="CA121" s="112">
        <f>SUMIF($E$4:$E$113,"410",$CA$4:$CA$113)</f>
        <v>0</v>
      </c>
      <c r="CB121" s="112">
        <f>SUMIF($E$4:$E$113,"410",$CB$4:$CB$113)</f>
        <v>0</v>
      </c>
      <c r="CC121" s="112"/>
      <c r="CD121" s="112">
        <f>SUMIF($E$4:$E$113,"410",$CD$4:$CD$113)</f>
        <v>0</v>
      </c>
      <c r="CE121" s="112">
        <f>SUMIF($E$4:$E$113,"410",$CE$4:$CE$113)</f>
        <v>0</v>
      </c>
      <c r="CF121" s="112">
        <f>SUMIF($E$4:$E$113,"410",$CF$4:$CF$113)</f>
        <v>0</v>
      </c>
      <c r="CG121" s="112">
        <f>SUMIF($E$4:$E$113,"410",$CG$4:$CG$113)</f>
        <v>1903657930</v>
      </c>
      <c r="CH121" s="112">
        <f>SUMIF($E$4:$E$113,"410",$CH$4:$CH$113)</f>
        <v>0</v>
      </c>
      <c r="CI121" s="112">
        <f>SUMIF($E$4:$E$113,"410",$CI$4:$CI$113)</f>
        <v>0</v>
      </c>
      <c r="CJ121" s="112">
        <f>SUMIF($E$4:$E$113,"410",$CJ$4:$CJ$113)</f>
        <v>140434345</v>
      </c>
      <c r="CK121" s="112">
        <f>SUMIF($E$4:$E$113,"410",$CK$4:$CK$113)</f>
        <v>0</v>
      </c>
      <c r="CL121" s="112">
        <f>SUMIF($E$4:$E$113,"410",$CL$4:$CL$113)</f>
        <v>44864678</v>
      </c>
      <c r="CM121" s="112">
        <f>SUMIF($E$4:$E$113,"410",$CM$4:$CM$113)</f>
        <v>0</v>
      </c>
      <c r="CN121" s="112">
        <f>SUMIF($E$4:$E$113,"410",$CN$4:$CN$113)</f>
        <v>0</v>
      </c>
      <c r="CO121" s="118">
        <f>SUMIF($E$4:$E$113,"410",$CO$4:$CO$113)</f>
        <v>83885186</v>
      </c>
      <c r="CP121" s="23">
        <f t="shared" si="113"/>
        <v>0.36933621136802086</v>
      </c>
      <c r="CQ121" s="25">
        <f t="shared" si="114"/>
        <v>2632287939</v>
      </c>
      <c r="CR121" s="115">
        <f>SUMIF($E$4:$E$113,"410",$CR$4:$CR$113)</f>
        <v>0</v>
      </c>
      <c r="CS121" s="115">
        <f>SUMIF($E$4:$E$113,"410",$CS$4:$CS$113)</f>
        <v>60200203</v>
      </c>
      <c r="CT121" s="115">
        <f>SUMIF($E$4:$E$113,"410",$CT$4:$CT$113)</f>
        <v>877688692</v>
      </c>
      <c r="CU121" s="115">
        <f>SUMIF($E$4:$E$113,"410",$CU$4:$CU$113)</f>
        <v>24460870</v>
      </c>
      <c r="CV121" s="115">
        <f>SUMIF($E$4:$E$113,"410",$CV$4:$CV$113)</f>
        <v>0</v>
      </c>
      <c r="CW121" s="115">
        <f>SUMIF($E$4:$E$113,"410",$CW$4:$CW$113)</f>
        <v>0</v>
      </c>
      <c r="CX121" s="115">
        <f>SUMIF($E$4:$E$113,"410",$CX$4:$CX$113)</f>
        <v>0</v>
      </c>
      <c r="CY121" s="115">
        <f>SUMIF($E$4:$E$113,"410",$CY$4:$CY$113)</f>
        <v>0</v>
      </c>
      <c r="CZ121" s="119">
        <f>SUMIF($E$4:$E$113,"410",$CZ$4:$CZ$113)</f>
        <v>0</v>
      </c>
      <c r="DA121" s="119">
        <f>SUMIF($E$4:$E$113,"410",$DA$4:$DA$113)</f>
        <v>0</v>
      </c>
      <c r="DB121" s="119">
        <f>SUMIF($E$4:$E$113,"410",$DB$4:$DB$113)</f>
        <v>0</v>
      </c>
      <c r="DC121" s="119">
        <f>SUMIF($E$4:$E$113,"410",$DC$4:$DC$113)</f>
        <v>1253899884</v>
      </c>
      <c r="DD121" s="119">
        <f>SUMIF($E$4:$E$113,"410",$DD$4:$DD$113)</f>
        <v>0</v>
      </c>
      <c r="DE121" s="119">
        <f>SUMIF($E$4:$E$113,"410",$DE$4:$DE$113)</f>
        <v>0</v>
      </c>
      <c r="DF121" s="119">
        <f>SUMIF($E$4:$E$113,"410",$DF$4:$DF$113)</f>
        <v>286841413</v>
      </c>
      <c r="DG121" s="119">
        <f>SUMIF($E$4:$E$113,"410",$DG$4:$DG$113)</f>
        <v>0</v>
      </c>
      <c r="DH121" s="119">
        <f>SUMIF($E$4:$E$113,"410",$DH$4:$DH$113)</f>
        <v>75082063</v>
      </c>
      <c r="DI121" s="119">
        <f>SUMIF($E$4:$E$113,"410",$DI$4:$DI$113)</f>
        <v>0</v>
      </c>
      <c r="DJ121" s="119">
        <f>SUMIF($E$4:$E$113,"410",$DJ$4:$DJ$113)</f>
        <v>0</v>
      </c>
      <c r="DK121" s="119">
        <f>SUMIF($E$4:$E$113,"410",$DK$4:$DK$113)</f>
        <v>54114814</v>
      </c>
      <c r="DN121" s="150" t="s">
        <v>384</v>
      </c>
      <c r="DO121" s="26">
        <v>3737298707</v>
      </c>
      <c r="DP121" s="26">
        <v>2110951851</v>
      </c>
      <c r="DQ121" s="151">
        <f t="shared" ref="DQ121:DQ126" si="115">+BT119</f>
        <v>0.56483359145100309</v>
      </c>
    </row>
    <row r="122" spans="1:121" ht="14.25" customHeight="1" x14ac:dyDescent="0.25">
      <c r="C122" s="121"/>
      <c r="D122" s="122" t="s">
        <v>360</v>
      </c>
      <c r="E122" s="103">
        <v>510</v>
      </c>
      <c r="F122" s="111"/>
      <c r="G122" s="112">
        <f>SUMIF($E$4:$E$113,"510",$G$4:$G$113)</f>
        <v>1580182191</v>
      </c>
      <c r="H122" s="113">
        <f>SUMIF($E$4:$E$113,"510",$H$4:$H$113)</f>
        <v>0</v>
      </c>
      <c r="I122" s="113">
        <f>SUMIF($E$4:$E$114,"510",$I$4:$I$114)</f>
        <v>760954283</v>
      </c>
      <c r="J122" s="112">
        <f>SUMIF($E$4:$E$113,"510",$J$4:$J$113)</f>
        <v>250000000</v>
      </c>
      <c r="K122" s="112">
        <f>SUMIF($E$4:$E$113,"510",$K$4:$K$113)</f>
        <v>48738920</v>
      </c>
      <c r="L122" s="111">
        <f>SUMIF($E$4:$E$113,"510",$L$4:$L$113)</f>
        <v>0</v>
      </c>
      <c r="M122" s="111">
        <f>SUMIF($E$4:$E$113,"510",$M$4:$M$113)</f>
        <v>0</v>
      </c>
      <c r="N122" s="111">
        <f>SUMIF($E$4:$E$113,"510",$N$4:$N$113)</f>
        <v>0</v>
      </c>
      <c r="O122" s="111">
        <f>SUMIF($E$4:$E$113,"510",$O$4:$O$113)</f>
        <v>0</v>
      </c>
      <c r="P122" s="111">
        <f>SUMIF($E$4:$E$113,"510",$P$4:$P$113)</f>
        <v>0</v>
      </c>
      <c r="Q122" s="111">
        <f>SUMIF($E$4:$E$113,"510",$Q$4:$Q$113)</f>
        <v>0</v>
      </c>
      <c r="R122" s="111">
        <f>SUMIF($E$4:$E$113,"510",$R$4:$R$113)</f>
        <v>0</v>
      </c>
      <c r="S122" s="111">
        <f>SUMIF($E$4:$E$113,"510",$S$4:$S$113)</f>
        <v>0</v>
      </c>
      <c r="T122" s="111">
        <f>SUMIF($E$4:$E$113,"510",$T$4:$T$113)</f>
        <v>0</v>
      </c>
      <c r="U122" s="111">
        <f>SUMIF($E$4:$E$113,"510",$U$4:$U$113)</f>
        <v>278034610</v>
      </c>
      <c r="V122" s="111">
        <f>SUMIF($E$4:$E$113,"510",$V$4:$V$113)</f>
        <v>61000000</v>
      </c>
      <c r="W122" s="111">
        <f>SUMIF($E$4:$E$106,"510",$W$4:$W$106)</f>
        <v>0</v>
      </c>
      <c r="X122" s="111"/>
      <c r="Y122" s="111">
        <f>SUMIF($E$4:$E$113,"510",$Y$4:$Y$113)</f>
        <v>0</v>
      </c>
      <c r="Z122" s="111">
        <f>SUMIF($E$4:$E$113,"510",$Z$4:$Z$113)</f>
        <v>0</v>
      </c>
      <c r="AA122" s="111">
        <f>SUMIF($E$4:$E$113,"510",$AA$4:$AA$113)</f>
        <v>181454378</v>
      </c>
      <c r="AB122" s="114">
        <f t="shared" si="106"/>
        <v>0.90417819295623236</v>
      </c>
      <c r="AC122" s="25">
        <f t="shared" si="107"/>
        <v>1428766278</v>
      </c>
      <c r="AD122" s="112">
        <f>SUMIF($E$4:$E$113,"510",$AD$4:$AD$113)</f>
        <v>0</v>
      </c>
      <c r="AE122" s="112">
        <f>SUMIF($E$4:$E$113,"510",$AE$4:$AE$113)</f>
        <v>736247498</v>
      </c>
      <c r="AF122" s="112">
        <f>SUMIF($E$4:$E$113,"510",$AF$4:$AF$113)</f>
        <v>192366571</v>
      </c>
      <c r="AG122" s="112">
        <f>SUMIF($E$4:$E$113,"510",$AG$4:$AG$113)</f>
        <v>48738920</v>
      </c>
      <c r="AH122" s="112">
        <f>SUMIF($E$4:$E$113,"510",$AH$4:$AH$113)</f>
        <v>0</v>
      </c>
      <c r="AI122" s="112">
        <f>SUMIF($E$4:$E$113,"510",$AI$4:$AI$113)</f>
        <v>0</v>
      </c>
      <c r="AJ122" s="112">
        <f>SUMIF($E$4:$E$113,"510",$AJ$4:$AJ$113)</f>
        <v>0</v>
      </c>
      <c r="AK122" s="112">
        <f>SUMIF($E$4:$E$113,"510",$AK$4:$AK$113)</f>
        <v>0</v>
      </c>
      <c r="AL122" s="112">
        <f>SUMIF($E$4:$E$113,"510",$AL$4:$AL$113)</f>
        <v>0</v>
      </c>
      <c r="AM122" s="112">
        <f>SUMIF($E$4:$E$113,"510",$AM$4:$AM$113)</f>
        <v>0</v>
      </c>
      <c r="AN122" s="112">
        <f>SUMIF($E$4:$E$113,"510",$AN$4:$AN$113)</f>
        <v>0</v>
      </c>
      <c r="AO122" s="112">
        <f>SUMIF($E$4:$E$113,"510",$AO$4:$AO$113)</f>
        <v>0</v>
      </c>
      <c r="AP122" s="112">
        <f>SUMIF($E$4:$E$113,"510",$AP$4:$AP$113)</f>
        <v>0</v>
      </c>
      <c r="AQ122" s="112">
        <f>SUMIF($E$4:$E$113,"510",$AQ$4:$AQ$113)</f>
        <v>278034610</v>
      </c>
      <c r="AR122" s="112">
        <f>SUMIF($E$4:$E$113,"510",$AR$4:$AR$113)</f>
        <v>50000000</v>
      </c>
      <c r="AS122" s="112">
        <f>SUMIF($E$4:$E$113,"510",$AS$4:$AS$113)</f>
        <v>0</v>
      </c>
      <c r="AT122" s="112">
        <f>SUMIF($E$4:$E$113,"510",$AT$4:$AT$113)</f>
        <v>0</v>
      </c>
      <c r="AU122" s="112">
        <f>SUMIF($E$4:$E$113,"510",$AU$4:$AU$113)</f>
        <v>0</v>
      </c>
      <c r="AV122" s="112">
        <f>SUMIF($E$4:$E$113," 510",$AV$4:$AV$113)</f>
        <v>0</v>
      </c>
      <c r="AW122" s="112">
        <f>SUMIF($E$4:$E$113,"510",$AW$4:$AW$113)</f>
        <v>123378679</v>
      </c>
      <c r="AX122" s="97">
        <f t="shared" si="108"/>
        <v>9.5821807043767637E-2</v>
      </c>
      <c r="AY122" s="25">
        <f t="shared" si="109"/>
        <v>151415913</v>
      </c>
      <c r="AZ122" s="115">
        <f>SUMIF($E$4:$E$113,"510",$AZ$4:$AZ$113)</f>
        <v>0</v>
      </c>
      <c r="BA122" s="115">
        <f>SUMIF($E$4:$E$113,"510",$BA$4:$BA$113)</f>
        <v>24706785</v>
      </c>
      <c r="BB122" s="115">
        <f>SUMIF($E$4:$E$113,"510",$BB$4:$BB$113)</f>
        <v>57633429</v>
      </c>
      <c r="BC122" s="115">
        <f>SUMIF($E$4:$E$113,"510",$BC$4:$BC$113)</f>
        <v>0</v>
      </c>
      <c r="BD122" s="115">
        <f>SUMIF($E$4:$E$113,"510",$BD$4:$BD$113)</f>
        <v>0</v>
      </c>
      <c r="BE122" s="115">
        <f>SUMIF($E$4:$E$113,"510",$BE$4:$BE$113)</f>
        <v>0</v>
      </c>
      <c r="BF122" s="115">
        <f>SUMIF($E$4:$E$113,"510",$BF$4:$BF$113)</f>
        <v>0</v>
      </c>
      <c r="BG122" s="115">
        <f>SUMIF($E$4:$E$113,"510",$BG$4:$BG$113)</f>
        <v>0</v>
      </c>
      <c r="BH122" s="115">
        <f>SUMIF($E$4:$E$113,"510",$BH$4:$BH$113)</f>
        <v>0</v>
      </c>
      <c r="BI122" s="115">
        <f>SUMIF($E$4:$E$113,"510",$BI$4:$BI$113)</f>
        <v>0</v>
      </c>
      <c r="BJ122" s="115">
        <f>SUMIF($E$4:$E$113,"510",$BJ$4:$BJ$113)</f>
        <v>0</v>
      </c>
      <c r="BK122" s="115">
        <f>SUMIF($E$4:$E$113,"510",$BK$4:$BK$113)</f>
        <v>0</v>
      </c>
      <c r="BL122" s="115">
        <f>SUMIF($E$4:$E$113,"510",$BL$4:$BL$113)</f>
        <v>0</v>
      </c>
      <c r="BM122" s="115">
        <f>SUMIF($E$4:$E$113,"510",$BM$4:$BM$113)</f>
        <v>0</v>
      </c>
      <c r="BN122" s="115">
        <f>SUMIF($E$4:$E$113,"510",$BN$4:$BN$113)</f>
        <v>11000000</v>
      </c>
      <c r="BO122" s="115">
        <f>SUMIF($E$4:$E$113,"520",$BO$4:$BO$113)</f>
        <v>0</v>
      </c>
      <c r="BP122" s="115">
        <f>SUMIF($E$4:$E$113,"510",$BP$4:$BP$113)</f>
        <v>0</v>
      </c>
      <c r="BQ122" s="115">
        <f>SUMIF($E$4:$E$113,"510",$BQ$4:$BQ$113)</f>
        <v>0</v>
      </c>
      <c r="BR122" s="115">
        <f>SUMIF($E$4:$E$113,"510",$BR$4:$BR$113)</f>
        <v>0</v>
      </c>
      <c r="BS122" s="116">
        <f>SUMIF($E$4:$E$113,"510",$BS$4:$BS$113)</f>
        <v>58075699</v>
      </c>
      <c r="BT122" s="117">
        <f t="shared" si="110"/>
        <v>0.68563438834503354</v>
      </c>
      <c r="BU122" s="25">
        <f t="shared" si="111"/>
        <v>1083427250</v>
      </c>
      <c r="BV122" s="112">
        <f>SUMIF($E$4:$E$113,"510",$BV$4:$BV$113)</f>
        <v>0</v>
      </c>
      <c r="BW122" s="112">
        <f>SUMIF($E$4:$E$113,"510",$BW$4:$BW$113)</f>
        <v>624188445</v>
      </c>
      <c r="BX122" s="112">
        <f>SUMIF($E$4:$E$113,"510",$BX$4:$BX$113)</f>
        <v>102837040</v>
      </c>
      <c r="BY122" s="112">
        <f>SUMIF($E$4:$E$113,"510",$BY$4:$BY$113)</f>
        <v>42487847</v>
      </c>
      <c r="BZ122" s="112">
        <f>SUMIF($E$4:$E$113,"510",$BZ$4:$BZ$113)</f>
        <v>0</v>
      </c>
      <c r="CA122" s="112">
        <f>SUMIF($E$4:$E$113,"510",$CA$4:$CA$113)</f>
        <v>0</v>
      </c>
      <c r="CB122" s="112">
        <f>SUMIF($E$4:$E$113,"510",$CB$4:$CB$113)</f>
        <v>0</v>
      </c>
      <c r="CC122" s="112"/>
      <c r="CD122" s="112">
        <f>SUMIF($E$4:$E$113,"510",$CD$4:$CD$113)</f>
        <v>0</v>
      </c>
      <c r="CE122" s="112">
        <f>SUMIF($E$4:$E$113,"510",$CE$4:$CE$113)</f>
        <v>0</v>
      </c>
      <c r="CF122" s="112">
        <f>SUMIF($E$4:$E$113,"510",$CF$4:$CF$113)</f>
        <v>0</v>
      </c>
      <c r="CG122" s="112">
        <f>SUMIF($E$4:$E$113,"510",$CG$4:$CG$113)</f>
        <v>0</v>
      </c>
      <c r="CH122" s="112">
        <f>SUMIF($E$4:$E$113,"510",$CH$4:$CH$113)</f>
        <v>0</v>
      </c>
      <c r="CI122" s="112">
        <f>SUMIF($E$4:$E$113,"510",$CI$4:$CI$113)</f>
        <v>183990671</v>
      </c>
      <c r="CJ122" s="112">
        <f>SUMIF($E$4:$E$113,"510",$CJ$4:$CJ$113)</f>
        <v>50000000</v>
      </c>
      <c r="CK122" s="112">
        <f>SUMIF($E$4:$E$113,"510",$CK$4:$CK$113)</f>
        <v>0</v>
      </c>
      <c r="CL122" s="112">
        <f>SUMIF($E$4:$E$113,"111",$CL$4:$CL$113)</f>
        <v>0</v>
      </c>
      <c r="CM122" s="112">
        <f>SUMIF($E$4:$E$113,"510",$CM$4:$CM$113)</f>
        <v>0</v>
      </c>
      <c r="CN122" s="112">
        <f>SUMIF($E$4:$E$113,"510",$CN$4:$CN$113)</f>
        <v>0</v>
      </c>
      <c r="CO122" s="118">
        <f>SUMIF($E$4:$E$113,"510",$CO$4:$CO$113)</f>
        <v>79923247</v>
      </c>
      <c r="CP122" s="23">
        <f t="shared" si="113"/>
        <v>0.31436561165496646</v>
      </c>
      <c r="CQ122" s="25">
        <f t="shared" si="114"/>
        <v>496754941</v>
      </c>
      <c r="CR122" s="115">
        <f>SUMIF($E$4:$E$113,"510",$CR$4:$CR$113)</f>
        <v>0</v>
      </c>
      <c r="CS122" s="115">
        <f>SUMIF($E$4:$E$113,"510",$CS$4:$CS$113)</f>
        <v>136765838</v>
      </c>
      <c r="CT122" s="115">
        <f>SUMIF($E$4:$E$113,"510",$CT$4:$CT$113)</f>
        <v>147162960</v>
      </c>
      <c r="CU122" s="115">
        <f>SUMIF($E$4:$E$113,"510",$CU$4:$CU$113)</f>
        <v>6251073</v>
      </c>
      <c r="CV122" s="115">
        <f>SUMIF($E$4:$E$113,"510",$CV$4:$CV$113)</f>
        <v>0</v>
      </c>
      <c r="CW122" s="115">
        <f>SUMIF($E$4:$E$113,"510",$CW$4:$CW$113)</f>
        <v>0</v>
      </c>
      <c r="CX122" s="115">
        <f>SUMIF($E$4:$E$113,"510",$CX$4:$CX$113)</f>
        <v>0</v>
      </c>
      <c r="CY122" s="115">
        <f>SUMIF($E$4:$E$113,"510",$CY$4:$CY$113)</f>
        <v>0</v>
      </c>
      <c r="CZ122" s="119">
        <f>SUMIF($E$4:$E$113,"510",$CZ$4:$CZ$113)</f>
        <v>0</v>
      </c>
      <c r="DA122" s="119">
        <f>SUMIF($E$4:$E$113,"510",$DA$4:$DA$113)</f>
        <v>0</v>
      </c>
      <c r="DB122" s="119">
        <f>SUMIF($E$4:$E$113,"510",$DB$4:$DB$113)</f>
        <v>0</v>
      </c>
      <c r="DC122" s="119">
        <f>SUMIF($E$4:$E$113,"510",$DC$4:$DC$113)</f>
        <v>0</v>
      </c>
      <c r="DD122" s="119">
        <f>SUMIF($E$4:$E$113,"510",$DD$4:$DD$113)</f>
        <v>0</v>
      </c>
      <c r="DE122" s="119">
        <f>SUMIF($E$4:$E$113,"510",$DE$4:$DE$113)</f>
        <v>94043939</v>
      </c>
      <c r="DF122" s="119">
        <f>SUMIF($E$4:$E$113,"510",$DF$4:$DF$113)</f>
        <v>11000000</v>
      </c>
      <c r="DG122" s="119">
        <f>SUMIF($E$4:$E$113,"510",$DG$4:$DG$113)</f>
        <v>0</v>
      </c>
      <c r="DH122" s="119">
        <f>SUMIF($E$4:$E$113,"510",$DH$4:$DH$113)</f>
        <v>0</v>
      </c>
      <c r="DI122" s="119">
        <f>SUMIF($E$4:$E$113,"510",$DI$4:$DI$113)</f>
        <v>0</v>
      </c>
      <c r="DJ122" s="119">
        <f>SUMIF($E$4:$E$113,"510",$DJ$4:$DJ$113)</f>
        <v>0</v>
      </c>
      <c r="DK122" s="119">
        <f>SUMIF($E$4:$E$113,"510",$DK$4:$DK$113)</f>
        <v>101531131</v>
      </c>
      <c r="DN122" s="150" t="s">
        <v>385</v>
      </c>
      <c r="DO122" s="26">
        <v>787030623</v>
      </c>
      <c r="DP122" s="26">
        <v>443484508</v>
      </c>
      <c r="DQ122" s="151">
        <f t="shared" si="115"/>
        <v>0.56349079062454732</v>
      </c>
    </row>
    <row r="123" spans="1:121" x14ac:dyDescent="0.25">
      <c r="C123" s="121"/>
      <c r="D123" s="110" t="s">
        <v>361</v>
      </c>
      <c r="E123" s="103">
        <v>520</v>
      </c>
      <c r="F123" s="111"/>
      <c r="G123" s="112">
        <f>SUMIF($E$4:$E$113,"520",$G$4:$G$113)</f>
        <v>2532390317</v>
      </c>
      <c r="H123" s="113">
        <f>SUMIF($E$4:$E$113,"520",$H$4:$H$113)</f>
        <v>0</v>
      </c>
      <c r="I123" s="113">
        <f>SUMIF($E$4:$E$113,"520",$I$4:$I$113)</f>
        <v>422000000</v>
      </c>
      <c r="J123" s="112">
        <f>SUMIF($E$4:$E$113,"520",$J$4:$J$113)</f>
        <v>0</v>
      </c>
      <c r="K123" s="112">
        <f>SUMIF($E$4:$E$113,"520",$K$4:$K$113)</f>
        <v>0</v>
      </c>
      <c r="L123" s="111">
        <f>SUMIF($E$4:$E$113,"520",$L$4:$L$113)</f>
        <v>0</v>
      </c>
      <c r="M123" s="111">
        <f>SUMIF($E$4:$E$113,"520",$M$4:$M$113)</f>
        <v>0</v>
      </c>
      <c r="N123" s="111">
        <f>SUMIF($E$4:$E$113,"520",$N$4:$N$113)</f>
        <v>0</v>
      </c>
      <c r="O123" s="111">
        <f>SUMIF($E$4:$E$113,"520",$O$4:$O$113)</f>
        <v>0</v>
      </c>
      <c r="P123" s="111">
        <f>SUMIF($E$4:$E$113,"520",$P$4:$P$113)</f>
        <v>0</v>
      </c>
      <c r="Q123" s="111">
        <f>SUMIF($E$4:$E$113,"520",$Q$4:$Q$113)</f>
        <v>0</v>
      </c>
      <c r="R123" s="111">
        <f>SUMIF($E$4:$E$113,"520",$R$4:$R$113)</f>
        <v>0</v>
      </c>
      <c r="S123" s="111">
        <f>SUMIF($E$4:$E$113,"520",$S$4:$S$113)</f>
        <v>1018432040</v>
      </c>
      <c r="T123" s="111">
        <f>SUMIF($E$4:$E$113,"520",$T$4:$T$113)</f>
        <v>0</v>
      </c>
      <c r="U123" s="111">
        <f>SUMIF($E$4:$E$113,"520",$U$4:$U$113)</f>
        <v>100000000</v>
      </c>
      <c r="V123" s="111">
        <f>SUMIF($E$4:$E$113,"520",$V$4:$V$113)</f>
        <v>272084973</v>
      </c>
      <c r="W123" s="111">
        <f>SUMIF($E$4:$E$106,"520",$W$4:$W$106)</f>
        <v>0</v>
      </c>
      <c r="X123" s="111"/>
      <c r="Y123" s="111">
        <f>SUMIF($E$4:$E$113,"520",$Y$4:$Y$113)</f>
        <v>0</v>
      </c>
      <c r="Z123" s="111">
        <f>SUMIF($E$4:$E$113,"520",$Z$4:$Z$113)</f>
        <v>0</v>
      </c>
      <c r="AA123" s="111">
        <f>SUMIF($E$4:$E$113,"520",$AA$4:$AA$113)</f>
        <v>719873304</v>
      </c>
      <c r="AB123" s="114">
        <f t="shared" si="106"/>
        <v>0.84900847612899788</v>
      </c>
      <c r="AC123" s="25">
        <f t="shared" si="107"/>
        <v>2150020844</v>
      </c>
      <c r="AD123" s="112">
        <f>SUMIF($E$4:$E$113,"520",$AD$4:$AD$113)</f>
        <v>0</v>
      </c>
      <c r="AE123" s="112">
        <f>SUMIF($E$4:$E$113,"520",$AE$4:$AE$113)</f>
        <v>399043533</v>
      </c>
      <c r="AF123" s="112">
        <f>SUMIF($E$4:$E$113,"520",$AF$4:$AF$113)</f>
        <v>0</v>
      </c>
      <c r="AG123" s="112">
        <f>SUMIF($E$4:$E$113,"520",$AG$4:$AG$113)</f>
        <v>0</v>
      </c>
      <c r="AH123" s="112">
        <f>SUMIF($E$4:$E$113,"520",$AH$4:$AH$113)</f>
        <v>0</v>
      </c>
      <c r="AI123" s="112">
        <f>SUMIF($E$4:$E$113,"520",$AI$4:$AI$113)</f>
        <v>0</v>
      </c>
      <c r="AJ123" s="112">
        <f>SUMIF($E$4:$E$113,"520",$AJ$4:$AJ$113)</f>
        <v>0</v>
      </c>
      <c r="AK123" s="112">
        <f>SUMIF($E$4:$E$113,"520",$AK$4:$AK$113)</f>
        <v>0</v>
      </c>
      <c r="AL123" s="112">
        <f>SUMIF($E$4:$E$113,"520",$AL$4:$AL$113)</f>
        <v>0</v>
      </c>
      <c r="AM123" s="112">
        <f>SUMIF($E$4:$E$113,"520",$AM$4:$AM$113)</f>
        <v>0</v>
      </c>
      <c r="AN123" s="112">
        <f>SUMIF($E$4:$E$113,"520",$AN$4:$AN$113)</f>
        <v>0</v>
      </c>
      <c r="AO123" s="112">
        <f>SUMIF($E$4:$E$113,"520",$AO$4:$AO$113)</f>
        <v>780745920</v>
      </c>
      <c r="AP123" s="112">
        <f>SUMIF($E$4:$E$113,"520",$AP$4:$AP$113)</f>
        <v>0</v>
      </c>
      <c r="AQ123" s="112">
        <f>SUMIF($E$4:$E$113,"520",$AQ$4:$AQ$113)</f>
        <v>100000000</v>
      </c>
      <c r="AR123" s="112">
        <f>SUMIF($E$4:$E$113,"520",$AR$4:$AR$113)</f>
        <v>239883201</v>
      </c>
      <c r="AS123" s="112">
        <f>SUMIF($E$4:$E$113,"520",$AS$4:$AS$113)</f>
        <v>0</v>
      </c>
      <c r="AT123" s="112">
        <f>SUMIF($E$4:$E$113,"520",$AT$4:$AT$113)</f>
        <v>0</v>
      </c>
      <c r="AU123" s="112">
        <f>SUMIF($E$4:$E$113,"520",$AU$4:$AU$113)</f>
        <v>0</v>
      </c>
      <c r="AV123" s="112">
        <f>SUMIF($E$4:$E$113,"520",$AV$4:$AV$113)</f>
        <v>0</v>
      </c>
      <c r="AW123" s="112">
        <f>SUMIF($E$4:$E$113,"520",$AW$4:$AW$113)</f>
        <v>630348190</v>
      </c>
      <c r="AX123" s="97">
        <f t="shared" si="108"/>
        <v>0.15099152387100212</v>
      </c>
      <c r="AY123" s="25">
        <f t="shared" si="109"/>
        <v>382369473</v>
      </c>
      <c r="AZ123" s="115">
        <f>SUMIF($E$4:$E$113,"520",$AZ$4:$AZ$113)</f>
        <v>0</v>
      </c>
      <c r="BA123" s="115">
        <f>SUMIF($E$4:$E$113,"520",$BA$4:$BA$113)</f>
        <v>22956467</v>
      </c>
      <c r="BB123" s="115">
        <f>SUMIF($E$4:$E$113,"520",$BB$4:$BB$113)</f>
        <v>0</v>
      </c>
      <c r="BC123" s="115">
        <f>SUMIF($E$4:$E$113,"520",$BC$4:$BC$113)</f>
        <v>0</v>
      </c>
      <c r="BD123" s="115">
        <f>SUMIF($E$4:$E$113,"520",$BD$4:$BD$113)</f>
        <v>0</v>
      </c>
      <c r="BE123" s="115">
        <f>SUMIF($E$4:$E$113,"520",$BE$4:$BE$113)</f>
        <v>0</v>
      </c>
      <c r="BF123" s="115">
        <f>SUMIF($E$4:$E$113,"520",$BF$4:$BF$113)</f>
        <v>0</v>
      </c>
      <c r="BG123" s="115">
        <f>SUMIF($E$4:$E$113,"520",$BG$4:$BG$113)</f>
        <v>0</v>
      </c>
      <c r="BH123" s="115">
        <f>SUMIF($E$4:$E$113,"520",$BH$4:$BH$113)</f>
        <v>0</v>
      </c>
      <c r="BI123" s="115">
        <f>SUMIF($E$4:$E$113,"520",$BI$4:$BI$113)</f>
        <v>0</v>
      </c>
      <c r="BJ123" s="115">
        <f>SUMIF($E$4:$E$113,"520",$BJ$4:$BJ$113)</f>
        <v>0</v>
      </c>
      <c r="BK123" s="115">
        <f>SUMIF($E$4:$E$113,"520",$BK$4:$BK$113)</f>
        <v>237686120</v>
      </c>
      <c r="BL123" s="115">
        <f>SUMIF($E$4:$E$113,"520",$BL$4:$BL$113)</f>
        <v>0</v>
      </c>
      <c r="BM123" s="115">
        <f>SUMIF($E$4:$E$113,"520",$BM$4:$BM$113)</f>
        <v>0</v>
      </c>
      <c r="BN123" s="115">
        <f>SUMIF($E$4:$E$113,"520",$BN$4:$BN$113)</f>
        <v>32201772</v>
      </c>
      <c r="BO123" s="115">
        <f>SUMIF($E$4:$E$113,"111",$BO$4:$BO$113)</f>
        <v>0</v>
      </c>
      <c r="BP123" s="115">
        <f>SUMIF($E$4:$E$113,"520",$BP$4:$BP$113)</f>
        <v>0</v>
      </c>
      <c r="BQ123" s="115">
        <f>SUMIF($E$4:$E$113,"520",$BQ$4:$BQ$113)</f>
        <v>0</v>
      </c>
      <c r="BR123" s="115">
        <f>SUMIF($E$4:$E$113,"520",$BR$4:$BR$113)</f>
        <v>0</v>
      </c>
      <c r="BS123" s="116">
        <f>SUMIF($E$4:$E$113,"520",$BS$4:$BS$113)</f>
        <v>89525114</v>
      </c>
      <c r="BT123" s="117">
        <f t="shared" si="110"/>
        <v>0.74558850044757929</v>
      </c>
      <c r="BU123" s="25">
        <f t="shared" si="111"/>
        <v>1888121099</v>
      </c>
      <c r="BV123" s="112">
        <f>SUMIF($E$4:$E$113,"520",$BV$4:$BV$113)</f>
        <v>0</v>
      </c>
      <c r="BW123" s="112">
        <f>SUMIF($E$4:$E$113,"520",$BW$4:$BW$113)</f>
        <v>376948878</v>
      </c>
      <c r="BX123" s="112">
        <f>SUMIF($E$4:$E$113,"520",$BX$4:$BX$113)</f>
        <v>0</v>
      </c>
      <c r="BY123" s="112">
        <f>SUMIF($E$4:$E$113,"520",$BY$4:$BY$113)</f>
        <v>0</v>
      </c>
      <c r="BZ123" s="112">
        <f>SUMIF($E$4:$E$113,"520",$BZ$4:$BZ$113)</f>
        <v>0</v>
      </c>
      <c r="CA123" s="112">
        <f>SUMIF($E$4:$E$113,"520",$CA$4:$CA$113)</f>
        <v>0</v>
      </c>
      <c r="CB123" s="112">
        <f>SUMIF($E$4:$E$113,"520",$CB$4:$CB$113)</f>
        <v>0</v>
      </c>
      <c r="CC123" s="112"/>
      <c r="CD123" s="112">
        <f>SUMIF($E$4:$E$113,"520",$CD$4:$CD$113)</f>
        <v>0</v>
      </c>
      <c r="CE123" s="112">
        <f>SUMIF($E$4:$E$113,"520",$CE$4:$CE$113)</f>
        <v>0</v>
      </c>
      <c r="CF123" s="112">
        <f>SUMIF($E$4:$E$113,"520",$CF$4:$CF$113)</f>
        <v>0</v>
      </c>
      <c r="CG123" s="112">
        <f>SUMIF($E$4:$E$113,"520",$CG$4:$CG$113)</f>
        <v>776599252</v>
      </c>
      <c r="CH123" s="112">
        <f>SUMIF($E$4:$E$113,"520",$CH$4:$CH$113)</f>
        <v>0</v>
      </c>
      <c r="CI123" s="112">
        <f>SUMIF($E$4:$E$113,"520",$CI$4:$CI$113)</f>
        <v>60640760</v>
      </c>
      <c r="CJ123" s="112">
        <f>SUMIF($E$4:$E$113,"520",$CJ$4:$CJ$113)</f>
        <v>140473723</v>
      </c>
      <c r="CK123" s="112">
        <f>SUMIF($E$4:$E$113,"520",$CK$4:$CK$113)</f>
        <v>0</v>
      </c>
      <c r="CL123" s="112">
        <f>SUMIF($E$4:$E$113,"111",$CL$4:$CL$113)</f>
        <v>0</v>
      </c>
      <c r="CM123" s="112">
        <f>SUMIF($E$4:$E$113,"520",$CM$4:$CM$113)</f>
        <v>0</v>
      </c>
      <c r="CN123" s="112">
        <f>SUMIF($E$4:$E$113,"520",$CN$4:$CN$113)</f>
        <v>0</v>
      </c>
      <c r="CO123" s="118">
        <f>SUMIF($E$4:$E$113,"520",$CO$4:$CO$113)</f>
        <v>533458486</v>
      </c>
      <c r="CP123" s="23">
        <f t="shared" si="113"/>
        <v>0.25441149955242071</v>
      </c>
      <c r="CQ123" s="25">
        <f t="shared" si="114"/>
        <v>644269218</v>
      </c>
      <c r="CR123" s="115">
        <f>SUMIF($E$4:$E$113,"520",$CR$4:$CR$113)</f>
        <v>0</v>
      </c>
      <c r="CS123" s="115">
        <f>SUMIF($E$4:$E$113,"520",$CS$4:$CS$113)</f>
        <v>45051122</v>
      </c>
      <c r="CT123" s="115">
        <f>SUMIF($E$4:$E$113,"520",$CT$4:$CT$113)</f>
        <v>0</v>
      </c>
      <c r="CU123" s="115">
        <f>SUMIF($E$4:$E$113,"520",$CU$4:$CU$113)</f>
        <v>0</v>
      </c>
      <c r="CV123" s="115">
        <f>SUMIF($E$4:$E$113,"520",$CV$4:$CV$113)</f>
        <v>0</v>
      </c>
      <c r="CW123" s="115">
        <f>SUMIF($E$4:$E$113,"520",$CW$4:$CW$113)</f>
        <v>0</v>
      </c>
      <c r="CX123" s="115">
        <f>SUMIF($E$4:$E$113,"520",$CX$4:$CX$113)</f>
        <v>0</v>
      </c>
      <c r="CY123" s="115">
        <f>SUMIF($E$4:$E$113,"520",$CY$4:$CY$113)</f>
        <v>0</v>
      </c>
      <c r="CZ123" s="119">
        <f>SUMIF($E$4:$E$113,"520",$CZ$4:$CZ$113)</f>
        <v>0</v>
      </c>
      <c r="DA123" s="119">
        <f>SUMIF($E$4:$E$113,"520",$DA$4:$DA$113)</f>
        <v>0</v>
      </c>
      <c r="DB123" s="119">
        <f>SUMIF($E$4:$E$113,"520",$DB$4:$DB$113)</f>
        <v>0</v>
      </c>
      <c r="DC123" s="119">
        <f>SUMIF($E$4:$E$113,"520",$DC$4:$DC$113)</f>
        <v>241832788</v>
      </c>
      <c r="DD123" s="119">
        <f>SUMIF($E$4:$E$113,"520",$DD$4:$DD$113)</f>
        <v>0</v>
      </c>
      <c r="DE123" s="119">
        <f>SUMIF($E$4:$E$113,"520",$DE$4:$DE$113)</f>
        <v>39359240</v>
      </c>
      <c r="DF123" s="119">
        <f>SUMIF($E$4:$E$113,"520",$DF$4:$DF$113)</f>
        <v>131611250</v>
      </c>
      <c r="DG123" s="119">
        <f>SUMIF($E$4:$E$113,"520",$DG$4:$DG$113)</f>
        <v>0</v>
      </c>
      <c r="DH123" s="119">
        <f>SUMIF($E$4:$E$113,"520",$DH$4:$DH$113)</f>
        <v>0</v>
      </c>
      <c r="DI123" s="119">
        <f>SUMIF($E$4:$E$113,"520",$DI$4:$DI$113)</f>
        <v>0</v>
      </c>
      <c r="DJ123" s="119">
        <f>SUMIF($E$4:$E$113,"520",$DJ$4:$DJ$113)</f>
        <v>0</v>
      </c>
      <c r="DK123" s="119">
        <f>SUMIF($E$4:$E$113,"520",$DK$4:$DK$113)</f>
        <v>186414818</v>
      </c>
      <c r="DN123" s="150" t="s">
        <v>386</v>
      </c>
      <c r="DO123" s="26">
        <v>7127077871</v>
      </c>
      <c r="DP123" s="26">
        <v>4494789932</v>
      </c>
      <c r="DQ123" s="151">
        <f t="shared" si="115"/>
        <v>0.63066378863197914</v>
      </c>
    </row>
    <row r="124" spans="1:121" x14ac:dyDescent="0.25">
      <c r="C124" s="121"/>
      <c r="D124" s="110" t="s">
        <v>362</v>
      </c>
      <c r="E124" s="103" t="s">
        <v>334</v>
      </c>
      <c r="F124" s="111"/>
      <c r="G124" s="112">
        <f>SUMIF($E$4:$E$113,"520-2",$G$4:$G$113)</f>
        <v>823639235</v>
      </c>
      <c r="H124" s="113"/>
      <c r="I124" s="113"/>
      <c r="J124" s="113"/>
      <c r="K124" s="112">
        <f>SUMIF($E$4:$E$113,"520-2",$K$4:$K$113)</f>
        <v>0</v>
      </c>
      <c r="L124" s="113"/>
      <c r="M124" s="113"/>
      <c r="N124" s="111">
        <f>SUMIF($E$4:$E$113,"520-2",$N$4:$N$113)</f>
        <v>0</v>
      </c>
      <c r="O124" s="113"/>
      <c r="P124" s="113"/>
      <c r="Q124" s="113"/>
      <c r="R124" s="113"/>
      <c r="S124" s="113"/>
      <c r="T124" s="113"/>
      <c r="U124" s="111">
        <f>SUMIF($E$4:$E$113,"520-2",$U$4:$U$113)</f>
        <v>123182603</v>
      </c>
      <c r="V124" s="113"/>
      <c r="W124" s="113"/>
      <c r="X124" s="113"/>
      <c r="Y124" s="111">
        <f>SUMIF($E$4:$E$113,"520-2",$Y$4:$Y$113)</f>
        <v>667371659</v>
      </c>
      <c r="Z124" s="111">
        <f>SUMIF($E$4:$E$113,"520-2",$Z$4:$Z$113)</f>
        <v>33084973</v>
      </c>
      <c r="AA124" s="111">
        <f>SUMIF($E$4:$E$113,"520-2",$AA$4:$AA$113)</f>
        <v>0</v>
      </c>
      <c r="AB124" s="114">
        <f t="shared" si="106"/>
        <v>1</v>
      </c>
      <c r="AC124" s="25">
        <f t="shared" si="107"/>
        <v>823639235</v>
      </c>
      <c r="AD124" s="112">
        <f>SUMIF($E$4:$E$113,"520-2",$AD$4:$AD$113)</f>
        <v>0</v>
      </c>
      <c r="AE124" s="112">
        <f>SUMIF($E$4:$E$113,"520-2",$AE$4:$AE$113)</f>
        <v>0</v>
      </c>
      <c r="AF124" s="112">
        <f>SUMIF($E$4:$E$113,"520-2",$AF$4:$AF$113)</f>
        <v>0</v>
      </c>
      <c r="AG124" s="112">
        <f>SUMIF($E$4:$E$113,"520-2",$AG$4:$AG$113)</f>
        <v>0</v>
      </c>
      <c r="AH124" s="112">
        <f>SUMIF($E$4:$E$113,"520-2",$AH$4:$AH$113)</f>
        <v>0</v>
      </c>
      <c r="AI124" s="112">
        <f>SUMIF($E$4:$E$113,"520-2",$AI$4:$AI$113)</f>
        <v>0</v>
      </c>
      <c r="AJ124" s="112">
        <f>SUMIF($E$4:$E$113,"520-2",$AJ$4:$AJ$113)</f>
        <v>0</v>
      </c>
      <c r="AK124" s="112">
        <f>SUMIF($E$4:$E$113,"520-2",$AK$4:$AK$113)</f>
        <v>0</v>
      </c>
      <c r="AL124" s="112">
        <f>SUMIF($E$4:$E$113,"520-2",$AL$4:$AL$113)</f>
        <v>0</v>
      </c>
      <c r="AM124" s="112">
        <f>SUMIF($E$4:$E$113,"520-2",$AM$4:$AM$113)</f>
        <v>0</v>
      </c>
      <c r="AN124" s="112">
        <f>SUMIF($E$4:$E$113,"520-2",$AN$4:$AN$113)</f>
        <v>0</v>
      </c>
      <c r="AO124" s="112">
        <f>SUMIF($E$4:$E$113,"520-2",$AO$4:$AO$113)</f>
        <v>0</v>
      </c>
      <c r="AP124" s="112">
        <f>SUMIF($E$4:$E$113,"520-2",$AP$4:$AP$113)</f>
        <v>0</v>
      </c>
      <c r="AQ124" s="112">
        <f>SUMIF($E$4:$E$113,"520-2",$AQ$4:$AQ$113)</f>
        <v>123182603</v>
      </c>
      <c r="AR124" s="112">
        <f>SUMIF($E$4:$E$113,"520-2",$AR$4:$AR$113)</f>
        <v>0</v>
      </c>
      <c r="AS124" s="112">
        <f>SUMIF($E$4:$E$113,"520-2",$AS$4:$AS$113)</f>
        <v>0</v>
      </c>
      <c r="AT124" s="112">
        <f>SUMIF($E$4:$E$113,"520-2",$AT$4:$AT$113)</f>
        <v>0</v>
      </c>
      <c r="AU124" s="112">
        <f>SUMIF($E$4:$E$113,"520-2",$AU$4:$AU$113)</f>
        <v>667371659</v>
      </c>
      <c r="AV124" s="112">
        <f>SUMIF($E$4:$E$113,"520-2",$AV$4:$AV$113)</f>
        <v>33084973</v>
      </c>
      <c r="AW124" s="112">
        <f>SUMIF($E$4:$E$113,"520-2",$AW$4:$AW$113)</f>
        <v>0</v>
      </c>
      <c r="AX124" s="97">
        <f t="shared" si="108"/>
        <v>0</v>
      </c>
      <c r="AY124" s="25">
        <f t="shared" si="109"/>
        <v>0</v>
      </c>
      <c r="AZ124" s="115"/>
      <c r="BA124" s="115"/>
      <c r="BB124" s="115"/>
      <c r="BC124" s="115">
        <f>SUMIF($E$4:$E$113,"520-2",$BC$4:$BC$113)</f>
        <v>0</v>
      </c>
      <c r="BD124" s="115"/>
      <c r="BE124" s="115"/>
      <c r="BF124" s="115"/>
      <c r="BG124" s="115"/>
      <c r="BH124" s="115"/>
      <c r="BI124" s="115"/>
      <c r="BJ124" s="115"/>
      <c r="BK124" s="115"/>
      <c r="BL124" s="115"/>
      <c r="BM124" s="115">
        <f>SUMIF($E$4:$E$113,"520-2",$BM$4:$BM$113)</f>
        <v>0</v>
      </c>
      <c r="BN124" s="115"/>
      <c r="BO124" s="115"/>
      <c r="BP124" s="115">
        <f>SUMIF($E$4:$E$113,"520-2",$BP$4:$BP$113)</f>
        <v>0</v>
      </c>
      <c r="BQ124" s="115">
        <f>SUMIF($E$4:$E$113,"520-2",$BQ$4:$BQ$113)</f>
        <v>0</v>
      </c>
      <c r="BR124" s="115">
        <f>SUMIF($E$4:$E$113,"520-2",$BR$4:$BR$113)</f>
        <v>0</v>
      </c>
      <c r="BS124" s="116">
        <f>SUMIF($E$4:$E$113,"520-2",$BS$4:$BS$113)</f>
        <v>0</v>
      </c>
      <c r="BT124" s="117">
        <f t="shared" si="110"/>
        <v>0.75743387819546992</v>
      </c>
      <c r="BU124" s="25">
        <f t="shared" si="111"/>
        <v>623852260</v>
      </c>
      <c r="BV124" s="112">
        <f>SUMIF($E$4:$E$113,"520-2",$BV$4:$BV$113)</f>
        <v>0</v>
      </c>
      <c r="BW124" s="112">
        <f>SUMIF($E$4:$E$113,"520-2",$BW$4:$BW$113)</f>
        <v>0</v>
      </c>
      <c r="BX124" s="112">
        <f>SUMIF($E$4:$E$113,"520-2",$BX$4:$BX$113)</f>
        <v>0</v>
      </c>
      <c r="BY124" s="112">
        <f>SUMIF($E$4:$E$113,"520-2",$BY$4:$BY$113)</f>
        <v>0</v>
      </c>
      <c r="BZ124" s="112">
        <f>SUMIF($E$4:$E$113,"520-2",$BZ$4:$BZ$113)</f>
        <v>0</v>
      </c>
      <c r="CA124" s="112">
        <f>SUMIF($E$4:$E$113,"520-2",$CA$4:$CA$113)</f>
        <v>0</v>
      </c>
      <c r="CB124" s="112">
        <f>SUMIF($E$4:$E$113,"520-2",$CB$4:$CB$113)</f>
        <v>0</v>
      </c>
      <c r="CC124" s="112"/>
      <c r="CD124" s="112"/>
      <c r="CE124" s="112"/>
      <c r="CF124" s="112"/>
      <c r="CG124" s="112"/>
      <c r="CH124" s="112">
        <f>SUMIF($E$4:$E$113,"520-2",$CH$4:$CH$113)</f>
        <v>0</v>
      </c>
      <c r="CI124" s="112">
        <f>SUMIF($E$4:$E$113,"520-2",$CI$4:$CI$113)</f>
        <v>0</v>
      </c>
      <c r="CJ124" s="112"/>
      <c r="CK124" s="112"/>
      <c r="CL124" s="112">
        <f>SUMIF($E$4:$E$113,"111",$CL$4:$CL$113)</f>
        <v>0</v>
      </c>
      <c r="CM124" s="112">
        <f>SUMIF($E$4:$E$113,"520-2",$CM$4:$CM$113)</f>
        <v>591018660</v>
      </c>
      <c r="CN124" s="112">
        <f>+'[1]ENERO 2017'!$H$908</f>
        <v>32833600</v>
      </c>
      <c r="CO124" s="118">
        <f>SUMIF($E$4:$E$113,"520-2",$CO$4:$CO$113)</f>
        <v>0</v>
      </c>
      <c r="CP124" s="23">
        <f t="shared" si="113"/>
        <v>0.24256612180453008</v>
      </c>
      <c r="CQ124" s="25">
        <f t="shared" si="114"/>
        <v>199786975</v>
      </c>
      <c r="CR124" s="116"/>
      <c r="CS124" s="116"/>
      <c r="CT124" s="116"/>
      <c r="CU124" s="116"/>
      <c r="CV124" s="115"/>
      <c r="CW124" s="115"/>
      <c r="CX124" s="115"/>
      <c r="CY124" s="115"/>
      <c r="CZ124" s="119"/>
      <c r="DA124" s="119"/>
      <c r="DB124" s="119"/>
      <c r="DC124" s="119"/>
      <c r="DD124" s="119"/>
      <c r="DE124" s="119">
        <f>SUMIF($E$4:$E$113,"520-2",$DE$4:$DE$113)</f>
        <v>123182603</v>
      </c>
      <c r="DF124" s="119"/>
      <c r="DG124" s="119"/>
      <c r="DH124" s="119">
        <f>SUMIF($E$4:$E$113,"520-2",$DH$4:$DH$113)</f>
        <v>0</v>
      </c>
      <c r="DI124" s="119">
        <f>SUMIF($E$4:$E$113,"520-2",$DI$4:$DI$113)</f>
        <v>76352999</v>
      </c>
      <c r="DJ124" s="119">
        <f>SUMIF($E$4:$E$113,"520-2",$DJ$4:$DJ$113)</f>
        <v>251373</v>
      </c>
      <c r="DK124" s="119">
        <f>SUMIF($E$4:$E$113,"520-2",$DK$4:$DK$113)</f>
        <v>0</v>
      </c>
      <c r="DN124" s="150" t="s">
        <v>387</v>
      </c>
      <c r="DO124" s="26">
        <v>1580182191</v>
      </c>
      <c r="DP124" s="26">
        <v>1083427250</v>
      </c>
      <c r="DQ124" s="151">
        <f t="shared" si="115"/>
        <v>0.68563438834503354</v>
      </c>
    </row>
    <row r="125" spans="1:121" x14ac:dyDescent="0.25">
      <c r="C125" s="121"/>
      <c r="D125" s="110" t="s">
        <v>363</v>
      </c>
      <c r="E125" s="123"/>
      <c r="F125" s="124"/>
      <c r="G125" s="125">
        <f t="shared" ref="G125:AA125" si="116">SUM(G118:G124)</f>
        <v>18846020368</v>
      </c>
      <c r="H125" s="125">
        <f t="shared" si="116"/>
        <v>181434097</v>
      </c>
      <c r="I125" s="125">
        <f t="shared" si="116"/>
        <v>2084954283</v>
      </c>
      <c r="J125" s="125">
        <f t="shared" si="116"/>
        <v>3950000000</v>
      </c>
      <c r="K125" s="125">
        <f t="shared" si="116"/>
        <v>1973969361</v>
      </c>
      <c r="L125" s="125">
        <f t="shared" si="116"/>
        <v>80883013</v>
      </c>
      <c r="M125" s="125">
        <f t="shared" si="116"/>
        <v>210796645</v>
      </c>
      <c r="N125" s="125">
        <f t="shared" si="116"/>
        <v>12004716</v>
      </c>
      <c r="O125" s="125">
        <f t="shared" si="116"/>
        <v>6840985</v>
      </c>
      <c r="P125" s="125">
        <f t="shared" si="116"/>
        <v>30665828</v>
      </c>
      <c r="Q125" s="125">
        <f t="shared" si="116"/>
        <v>1940856</v>
      </c>
      <c r="R125" s="125">
        <f t="shared" si="116"/>
        <v>135153822</v>
      </c>
      <c r="S125" s="125">
        <f t="shared" si="116"/>
        <v>4175989854</v>
      </c>
      <c r="T125" s="125">
        <f t="shared" si="116"/>
        <v>300000000</v>
      </c>
      <c r="U125" s="125">
        <f t="shared" si="116"/>
        <v>953441613</v>
      </c>
      <c r="V125" s="125">
        <f t="shared" si="116"/>
        <v>1720354141</v>
      </c>
      <c r="W125" s="125">
        <f t="shared" si="116"/>
        <v>0</v>
      </c>
      <c r="X125" s="125">
        <f t="shared" si="116"/>
        <v>119946741</v>
      </c>
      <c r="Y125" s="125">
        <f t="shared" si="116"/>
        <v>667371659</v>
      </c>
      <c r="Z125" s="125">
        <f t="shared" si="116"/>
        <v>33084973</v>
      </c>
      <c r="AA125" s="125">
        <f t="shared" si="116"/>
        <v>2207187781</v>
      </c>
      <c r="AB125" s="114">
        <f t="shared" si="106"/>
        <v>0.81510165918547206</v>
      </c>
      <c r="AC125" s="125">
        <f t="shared" ref="AC125:AW127" si="117">SUM(AC118:AC124)</f>
        <v>15361422471</v>
      </c>
      <c r="AD125" s="125">
        <f t="shared" si="117"/>
        <v>181434097</v>
      </c>
      <c r="AE125" s="125">
        <f t="shared" si="117"/>
        <v>1932174326</v>
      </c>
      <c r="AF125" s="125">
        <f t="shared" si="117"/>
        <v>3309245909</v>
      </c>
      <c r="AG125" s="125">
        <f>SUM(AG118:AG124)</f>
        <v>1868018700</v>
      </c>
      <c r="AH125" s="125">
        <f>SUM(AH118:AH124)</f>
        <v>80883013</v>
      </c>
      <c r="AI125" s="125">
        <f t="shared" si="117"/>
        <v>11416500</v>
      </c>
      <c r="AJ125" s="125">
        <f t="shared" si="117"/>
        <v>12004716</v>
      </c>
      <c r="AK125" s="125">
        <f t="shared" si="117"/>
        <v>6840985</v>
      </c>
      <c r="AL125" s="125">
        <f t="shared" si="117"/>
        <v>30665828</v>
      </c>
      <c r="AM125" s="125">
        <f t="shared" si="117"/>
        <v>0</v>
      </c>
      <c r="AN125" s="125">
        <f t="shared" si="117"/>
        <v>135153822</v>
      </c>
      <c r="AO125" s="125">
        <f t="shared" si="117"/>
        <v>2951299250</v>
      </c>
      <c r="AP125" s="125">
        <f>SUM(AP118:AP124)</f>
        <v>149455530</v>
      </c>
      <c r="AQ125" s="125">
        <f t="shared" si="117"/>
        <v>911441613</v>
      </c>
      <c r="AR125" s="125">
        <f t="shared" si="117"/>
        <v>1485140669</v>
      </c>
      <c r="AS125" s="125">
        <f t="shared" si="117"/>
        <v>0</v>
      </c>
      <c r="AT125" s="125">
        <f t="shared" si="117"/>
        <v>119946741</v>
      </c>
      <c r="AU125" s="125">
        <f t="shared" si="117"/>
        <v>667371659</v>
      </c>
      <c r="AV125" s="125">
        <f t="shared" si="117"/>
        <v>33084973</v>
      </c>
      <c r="AW125" s="125">
        <f t="shared" si="117"/>
        <v>1475844140</v>
      </c>
      <c r="AX125" s="97">
        <f t="shared" si="108"/>
        <v>0.18489834081452794</v>
      </c>
      <c r="AY125" s="126">
        <f t="shared" ref="AY125:BS125" si="118">SUM(AY118:AY124)</f>
        <v>3484597897</v>
      </c>
      <c r="AZ125" s="126">
        <f t="shared" si="118"/>
        <v>0</v>
      </c>
      <c r="BA125" s="126">
        <f t="shared" si="118"/>
        <v>152779957</v>
      </c>
      <c r="BB125" s="126">
        <f t="shared" si="118"/>
        <v>640754091</v>
      </c>
      <c r="BC125" s="126">
        <f t="shared" si="118"/>
        <v>105950661</v>
      </c>
      <c r="BD125" s="126">
        <f t="shared" si="118"/>
        <v>0</v>
      </c>
      <c r="BE125" s="126">
        <f t="shared" si="118"/>
        <v>199380145</v>
      </c>
      <c r="BF125" s="126">
        <f t="shared" si="118"/>
        <v>0</v>
      </c>
      <c r="BG125" s="126">
        <f t="shared" si="118"/>
        <v>0</v>
      </c>
      <c r="BH125" s="126">
        <f t="shared" si="118"/>
        <v>0</v>
      </c>
      <c r="BI125" s="126">
        <f t="shared" si="118"/>
        <v>1940856</v>
      </c>
      <c r="BJ125" s="126">
        <f t="shared" si="118"/>
        <v>0</v>
      </c>
      <c r="BK125" s="126">
        <f t="shared" si="118"/>
        <v>1224690604</v>
      </c>
      <c r="BL125" s="126">
        <f t="shared" si="118"/>
        <v>150544470</v>
      </c>
      <c r="BM125" s="126">
        <f t="shared" si="118"/>
        <v>42000000</v>
      </c>
      <c r="BN125" s="126">
        <f t="shared" si="118"/>
        <v>235213472</v>
      </c>
      <c r="BO125" s="126">
        <f t="shared" si="118"/>
        <v>0</v>
      </c>
      <c r="BP125" s="126">
        <f t="shared" si="118"/>
        <v>0</v>
      </c>
      <c r="BQ125" s="126">
        <f t="shared" si="118"/>
        <v>0</v>
      </c>
      <c r="BR125" s="126">
        <f t="shared" si="118"/>
        <v>0</v>
      </c>
      <c r="BS125" s="126">
        <f t="shared" si="118"/>
        <v>731343641</v>
      </c>
      <c r="BT125" s="117">
        <f t="shared" si="110"/>
        <v>0.61055737754257322</v>
      </c>
      <c r="BU125" s="25">
        <f t="shared" si="111"/>
        <v>11506576773</v>
      </c>
      <c r="BV125" s="25">
        <f t="shared" ref="BV125:CO125" si="119">SUM(BV118:BV124)</f>
        <v>0</v>
      </c>
      <c r="BW125" s="25">
        <f t="shared" si="119"/>
        <v>1680676048</v>
      </c>
      <c r="BX125" s="25">
        <f t="shared" si="119"/>
        <v>2446083547</v>
      </c>
      <c r="BY125" s="25">
        <f t="shared" si="119"/>
        <v>1167895047</v>
      </c>
      <c r="BZ125" s="25">
        <f t="shared" si="119"/>
        <v>7736670</v>
      </c>
      <c r="CA125" s="25">
        <f t="shared" si="119"/>
        <v>11416500</v>
      </c>
      <c r="CB125" s="25">
        <f t="shared" si="119"/>
        <v>12004716</v>
      </c>
      <c r="CC125" s="25">
        <f t="shared" si="119"/>
        <v>6840985</v>
      </c>
      <c r="CD125" s="25">
        <f t="shared" si="119"/>
        <v>30665828</v>
      </c>
      <c r="CE125" s="25">
        <f t="shared" si="119"/>
        <v>0</v>
      </c>
      <c r="CF125" s="25">
        <f t="shared" si="119"/>
        <v>10153894</v>
      </c>
      <c r="CG125" s="25">
        <f t="shared" si="119"/>
        <v>2680257182</v>
      </c>
      <c r="CH125" s="25">
        <f t="shared" si="119"/>
        <v>149455530</v>
      </c>
      <c r="CI125" s="25">
        <f t="shared" si="119"/>
        <v>386609559</v>
      </c>
      <c r="CJ125" s="25">
        <f t="shared" si="119"/>
        <v>1134076957</v>
      </c>
      <c r="CK125" s="25">
        <f t="shared" si="119"/>
        <v>0</v>
      </c>
      <c r="CL125" s="25">
        <f t="shared" si="119"/>
        <v>44864678</v>
      </c>
      <c r="CM125" s="25">
        <f t="shared" si="119"/>
        <v>591018660</v>
      </c>
      <c r="CN125" s="25">
        <f t="shared" si="119"/>
        <v>32833600</v>
      </c>
      <c r="CO125" s="25">
        <f t="shared" si="119"/>
        <v>1113987372</v>
      </c>
      <c r="CP125" s="23">
        <f t="shared" si="113"/>
        <v>0.38944262245742678</v>
      </c>
      <c r="CQ125" s="125">
        <f t="shared" ref="CQ125:DK125" ca="1" si="120">SUM(CQ118:CQ124)</f>
        <v>7339443595</v>
      </c>
      <c r="CR125" s="125">
        <f t="shared" ca="1" si="120"/>
        <v>181434097</v>
      </c>
      <c r="CS125" s="125">
        <f t="shared" si="120"/>
        <v>404278235</v>
      </c>
      <c r="CT125" s="125">
        <f t="shared" si="120"/>
        <v>1503916453</v>
      </c>
      <c r="CU125" s="125">
        <f t="shared" si="120"/>
        <v>806074314</v>
      </c>
      <c r="CV125" s="125">
        <f t="shared" si="120"/>
        <v>73146343</v>
      </c>
      <c r="CW125" s="125">
        <f t="shared" si="120"/>
        <v>199380145</v>
      </c>
      <c r="CX125" s="125">
        <f t="shared" si="120"/>
        <v>0</v>
      </c>
      <c r="CY125" s="125">
        <f t="shared" si="120"/>
        <v>0</v>
      </c>
      <c r="CZ125" s="125">
        <f t="shared" si="120"/>
        <v>0</v>
      </c>
      <c r="DA125" s="125">
        <f t="shared" si="120"/>
        <v>1940856</v>
      </c>
      <c r="DB125" s="125">
        <f t="shared" si="120"/>
        <v>124999928</v>
      </c>
      <c r="DC125" s="125">
        <f t="shared" si="120"/>
        <v>1495732672</v>
      </c>
      <c r="DD125" s="125">
        <f t="shared" si="120"/>
        <v>150544470</v>
      </c>
      <c r="DE125" s="125">
        <f t="shared" si="120"/>
        <v>566832054</v>
      </c>
      <c r="DF125" s="125">
        <f t="shared" si="120"/>
        <v>586277184</v>
      </c>
      <c r="DG125" s="125">
        <f t="shared" si="120"/>
        <v>0</v>
      </c>
      <c r="DH125" s="125">
        <f t="shared" si="120"/>
        <v>75082063</v>
      </c>
      <c r="DI125" s="125">
        <f t="shared" si="120"/>
        <v>76352999</v>
      </c>
      <c r="DJ125" s="125">
        <f t="shared" si="120"/>
        <v>251373</v>
      </c>
      <c r="DK125" s="125">
        <f t="shared" si="120"/>
        <v>1093200409</v>
      </c>
      <c r="DN125" s="150" t="s">
        <v>388</v>
      </c>
      <c r="DO125" s="26">
        <v>2532390317</v>
      </c>
      <c r="DP125" s="26">
        <v>1888121099</v>
      </c>
      <c r="DQ125" s="151">
        <f t="shared" si="115"/>
        <v>0.74558850044757929</v>
      </c>
    </row>
    <row r="126" spans="1:121" x14ac:dyDescent="0.25">
      <c r="C126" s="121"/>
      <c r="D126" s="110" t="s">
        <v>249</v>
      </c>
      <c r="E126" s="127">
        <v>301</v>
      </c>
      <c r="F126" s="111"/>
      <c r="G126" s="112">
        <f>SUMIF($E$4:$E$113,"301",$G$4:$G$113)</f>
        <v>3178839833</v>
      </c>
      <c r="H126" s="113">
        <f>SUMIF($E$4:$E$113,"301",$H$4:$H$113)</f>
        <v>277739909</v>
      </c>
      <c r="I126" s="113">
        <f>SUMIF($E$4:$E$113,"301",$I$4:$I$113)</f>
        <v>714000000</v>
      </c>
      <c r="J126" s="112">
        <f>SUMIF($E$4:$E$113,"301",$J$4:$J$113)</f>
        <v>50000000</v>
      </c>
      <c r="K126" s="112">
        <f>SUMIF($E$4:$E$113,"301",$K$4:$K$113)</f>
        <v>26578511</v>
      </c>
      <c r="L126" s="111">
        <f>SUMIF($E$4:$E$113,"301",$L$4:$L$113)</f>
        <v>0</v>
      </c>
      <c r="M126" s="111">
        <f>SUMIF($E$4:$E$113,"301",$M$4:$M$113)</f>
        <v>0</v>
      </c>
      <c r="N126" s="111">
        <f>SUMIF($E$4:$E$113,"301",$N$4:$N$113)</f>
        <v>0</v>
      </c>
      <c r="O126" s="111">
        <f>SUMIF($E$4:$E$113,"301",$O$4:$O$113)</f>
        <v>0</v>
      </c>
      <c r="P126" s="111">
        <f>SUMIF($E$4:$E$113,"301",$P$4:$P$113)</f>
        <v>0</v>
      </c>
      <c r="Q126" s="111">
        <f>SUMIF($E$4:$E$113,"301",$Q$4:$Q$113)</f>
        <v>0</v>
      </c>
      <c r="R126" s="111">
        <f>SUMIF($E$4:$E$113,"301",$R$4:$R$113)</f>
        <v>0</v>
      </c>
      <c r="S126" s="111">
        <f>SUMIF($E$4:$E$113,"301",$S$4:$S$113)</f>
        <v>2213154</v>
      </c>
      <c r="T126" s="111">
        <f>SUMIF($E$4:$E$113,"301",$T$4:$T$113)</f>
        <v>230450000</v>
      </c>
      <c r="U126" s="111">
        <f>SUMIF($E$4:$E$113,"301",$U$4:$U$113)</f>
        <v>118000000</v>
      </c>
      <c r="V126" s="111">
        <f>SUMIF($E$4:$E$113,"301",$V$4:$V$113)</f>
        <v>80000000</v>
      </c>
      <c r="W126" s="111">
        <f>SUMIF($E$4:$E$106,"301",$W$4:$W$106)</f>
        <v>1570638184</v>
      </c>
      <c r="X126" s="111"/>
      <c r="Y126" s="111">
        <f>SUMIF($E$4:$E$106,"301",$Y$4:$Y$106)</f>
        <v>0</v>
      </c>
      <c r="Z126" s="111">
        <f>SUMIF($E$4:$E$113,"301",$Z$4:$Z$113)</f>
        <v>0</v>
      </c>
      <c r="AA126" s="111">
        <f>SUMIF($E$4:$E$113,"301",$AA$4:$AA$113)</f>
        <v>109220075</v>
      </c>
      <c r="AB126" s="114">
        <f t="shared" si="106"/>
        <v>0.94883593306224934</v>
      </c>
      <c r="AC126" s="25">
        <f>SUM(AD126:AW126)</f>
        <v>3016197459</v>
      </c>
      <c r="AD126" s="112">
        <f>SUMIF($E$4:$E$113,"301",$AD$4:$AD$113)</f>
        <v>261659011</v>
      </c>
      <c r="AE126" s="112">
        <f>SUMIF($E$4:$E$113,"301",$AE$4:$AE$113)</f>
        <v>713620873</v>
      </c>
      <c r="AF126" s="112">
        <f>SUMIF($E$4:$E$113,"301",$AF$4:$AF$113)</f>
        <v>50000000</v>
      </c>
      <c r="AG126" s="112">
        <f>SUMIF($E$4:$E$113,"301",$AG$4:$AG$113)</f>
        <v>18090667</v>
      </c>
      <c r="AH126" s="112">
        <f>SUMIF($E$4:$E$113,"301",$AH$4:$AH$113)</f>
        <v>0</v>
      </c>
      <c r="AI126" s="112">
        <f>SUMIF($E$4:$E$113,"301",$AI$4:$AI$113)</f>
        <v>0</v>
      </c>
      <c r="AJ126" s="112">
        <f>SUMIF($E$4:$E$113,"301",$AJ$4:$AJ$113)</f>
        <v>0</v>
      </c>
      <c r="AK126" s="112">
        <f>SUMIF($E$4:$E$113,"301",$AK$4:$AK$113)</f>
        <v>0</v>
      </c>
      <c r="AL126" s="112">
        <f>SUMIF($E$4:$E$113,"301",$AL$4:$AL$113)</f>
        <v>0</v>
      </c>
      <c r="AM126" s="112">
        <f>SUMIF($E$4:$E$113,"301",$AM$4:$AM$113)</f>
        <v>0</v>
      </c>
      <c r="AN126" s="112">
        <f>SUMIF($E$4:$E$113,"301",$AN$4:$AN$113)</f>
        <v>0</v>
      </c>
      <c r="AO126" s="112">
        <f>SUMIF($E$4:$E$113,"301",$AO$4:$AO$113)</f>
        <v>0</v>
      </c>
      <c r="AP126" s="112">
        <f>SUMIF($E$4:$E$113,"301",$AP$4:$AP$113)</f>
        <v>175958012</v>
      </c>
      <c r="AQ126" s="112">
        <f>SUMIF($E$4:$E$113,"301",$AQ$4:$AQ$113)</f>
        <v>118000000</v>
      </c>
      <c r="AR126" s="112">
        <f>SUMIF($E$4:$E$113,"301",$AR$4:$AR$113)</f>
        <v>80000000</v>
      </c>
      <c r="AS126" s="112">
        <f>SUMIF($E$4:$E$113,"301",$AS$4:$AS$113)</f>
        <v>1539781663</v>
      </c>
      <c r="AT126" s="112">
        <f>SUMIF($E$4:$E$113,"301",$AT$4:$AT$113)</f>
        <v>0</v>
      </c>
      <c r="AU126" s="112">
        <f>SUMIF($E$4:$E$113,"301",$AU$4:$AU$113)</f>
        <v>0</v>
      </c>
      <c r="AV126" s="112">
        <f>SUMIF($E$4:$E$113,"301",$AV$4:$AV$113)</f>
        <v>0</v>
      </c>
      <c r="AW126" s="112">
        <f>SUMIF($E$4:$E$113,"301",$AW$4:$AW$113)</f>
        <v>59087233</v>
      </c>
      <c r="AX126" s="97">
        <f t="shared" si="108"/>
        <v>5.1164066937750663E-2</v>
      </c>
      <c r="AY126" s="25">
        <f>SUM(AZ126:BS126)</f>
        <v>162642374</v>
      </c>
      <c r="AZ126" s="115">
        <f>SUMIF($E$4:$E$113,"301",$AZ$4:$AZ$113)</f>
        <v>16080898</v>
      </c>
      <c r="BA126" s="115">
        <f>SUMIF($E$4:$E$113,"301",$BA$4:$BA$113)</f>
        <v>379127</v>
      </c>
      <c r="BB126" s="115">
        <f>SUMIF($E$4:$E$113,"301",$BB$4:$BB$113)</f>
        <v>0</v>
      </c>
      <c r="BC126" s="115">
        <f>SUMIF($E$4:$E$113,"301",$BC$4:$BC$113)</f>
        <v>8487844</v>
      </c>
      <c r="BD126" s="115">
        <f>SUMIF($E$4:$E$113,"301",$BD$4:$BD$113)</f>
        <v>0</v>
      </c>
      <c r="BE126" s="115">
        <f>SUMIF($E$4:$E$113,"301",$BE$4:$BE$113)</f>
        <v>0</v>
      </c>
      <c r="BF126" s="115">
        <f>SUMIF($E$4:$E$113,"301",$BF$4:$BF$113)</f>
        <v>0</v>
      </c>
      <c r="BG126" s="115">
        <f>SUMIF($E$4:$E$113,"301",$BG$4:$BG$113)</f>
        <v>0</v>
      </c>
      <c r="BH126" s="115">
        <f>SUMIF($E$4:$E$113,"301",$BH$4:$BH$113)</f>
        <v>0</v>
      </c>
      <c r="BI126" s="115">
        <f>SUMIF($E$4:$E$113,"301",$BI$4:$BI$113)</f>
        <v>0</v>
      </c>
      <c r="BJ126" s="115">
        <f>SUMIF($E$4:$E$113,"301",$BJ$4:$BJ$113)</f>
        <v>0</v>
      </c>
      <c r="BK126" s="115">
        <f>SUMIF($E$4:$E$113,"301",$BK$4:$BK$113)</f>
        <v>2213154</v>
      </c>
      <c r="BL126" s="115">
        <f>SUMIF($E$4:$E$113,"301",$BL$4:$BL$113)</f>
        <v>54491988</v>
      </c>
      <c r="BM126" s="115">
        <f>SUMIF($E$4:$E$113,"301",$BM$4:$BM$113)</f>
        <v>0</v>
      </c>
      <c r="BN126" s="115">
        <f>SUMIF($E$4:$E$113,"301",$BN$4:$BN$113)</f>
        <v>0</v>
      </c>
      <c r="BO126" s="115">
        <f>SUMIF($E$4:$E$113,"301",$BO$4:$BO$113)</f>
        <v>30856521</v>
      </c>
      <c r="BP126" s="115"/>
      <c r="BQ126" s="115">
        <f>SUMIF($E$4:$E$113,"301",$BQ$4:$BQ$113)</f>
        <v>0</v>
      </c>
      <c r="BR126" s="115"/>
      <c r="BS126" s="116">
        <f>SUMIF($E$4:$E$113,"301",$BS$4:$BS$113)</f>
        <v>50132842</v>
      </c>
      <c r="BT126" s="117">
        <f t="shared" si="110"/>
        <v>0.89375412076636074</v>
      </c>
      <c r="BU126" s="25">
        <f>SUM(BV126:CO126)</f>
        <v>2841101200</v>
      </c>
      <c r="BV126" s="112">
        <f>SUMIF($E$4:$E$113,"301",$BV$4:$BV$113)</f>
        <v>236554614</v>
      </c>
      <c r="BW126" s="112">
        <f>SUMIF($E$4:$E$113,"301",$BW$4:$BW$113)</f>
        <v>711139881</v>
      </c>
      <c r="BX126" s="112">
        <f>SUMIF($E$4:$E$113,"301",$BX$4:$BX$113)</f>
        <v>37223653</v>
      </c>
      <c r="BY126" s="112">
        <f>SUMIF($E$4:$E$113,"301",$BY$4:$BY$113)</f>
        <v>18090667</v>
      </c>
      <c r="BZ126" s="112">
        <f>SUMIF($E$4:$E$113,"301",$BZ$4:$BZ$113)</f>
        <v>0</v>
      </c>
      <c r="CA126" s="112">
        <f>SUMIF($E$4:$E$113,"301",$CA$4:$CA$113)</f>
        <v>0</v>
      </c>
      <c r="CB126" s="112">
        <f>SUMIF($E$4:$E$113,"301",$CB$4:$CB$113)</f>
        <v>0</v>
      </c>
      <c r="CC126" s="112"/>
      <c r="CD126" s="112">
        <f>SUMIF($E$4:$E$113,"301",$CD$4:$CD$113)</f>
        <v>0</v>
      </c>
      <c r="CE126" s="112">
        <f>SUMIF($E$4:$E$113,"301",$CE$4:$CE$113)</f>
        <v>0</v>
      </c>
      <c r="CF126" s="112">
        <f>SUMIF($E$4:$E$113,"301",$CF$4:$CF$113)</f>
        <v>0</v>
      </c>
      <c r="CG126" s="112">
        <f>SUMIF($E$4:$E$113,"301",$CG$4:$CG$113)</f>
        <v>0</v>
      </c>
      <c r="CH126" s="112">
        <f>SUMIF($E$4:$E$113,"301",$CH$4:$CH$113)</f>
        <v>171014753</v>
      </c>
      <c r="CI126" s="112">
        <f>SUMIF($E$4:$E$113,"301",$CI$4:$CI$113)</f>
        <v>70634317</v>
      </c>
      <c r="CJ126" s="112">
        <f>SUMIF($E$4:$E$113,"301",$CJ$4:$CJ$113)</f>
        <v>3000000</v>
      </c>
      <c r="CK126" s="112">
        <f>SUMIF($E$4:$E$113,"301",$CK$4:$CK$113)</f>
        <v>1539700812</v>
      </c>
      <c r="CL126" s="112">
        <f>SUMIF($E$4:$E$113,"301",$CL$4:$CL$113)</f>
        <v>0</v>
      </c>
      <c r="CM126" s="112">
        <f>SUMIF($E$4:$E$113,"301",$CM$4:$CM$113)</f>
        <v>0</v>
      </c>
      <c r="CN126" s="112">
        <f>SUMIF($E$4:$E$113,"301",$CN$4:$CN$113)</f>
        <v>0</v>
      </c>
      <c r="CO126" s="118">
        <f>SUMIF($E$4:$E$113,"301",$CO$4:$CO$113)</f>
        <v>53742503</v>
      </c>
      <c r="CP126" s="23">
        <f t="shared" si="113"/>
        <v>0.10624587923363926</v>
      </c>
      <c r="CQ126" s="25">
        <f>SUM(CR126:DK126)</f>
        <v>337738633</v>
      </c>
      <c r="CR126" s="115">
        <f>SUMIF($E$4:$E$113,"301",$CR$4:$CR$113)</f>
        <v>41185295</v>
      </c>
      <c r="CS126" s="115">
        <f>SUMIF($E$4:$E$113,"301",$CS$4:$CS$113)</f>
        <v>2860119</v>
      </c>
      <c r="CT126" s="115">
        <f>SUMIF($E$4:$E$113,"301",$CT$4:$CT$113)</f>
        <v>12776347</v>
      </c>
      <c r="CU126" s="115">
        <f>SUMIF($E$4:$E$113,"301",$CU$4:$CU$113)</f>
        <v>8487844</v>
      </c>
      <c r="CV126" s="115">
        <f>SUMIF($E$4:$E$113,"301",$CV$4:$CV$113)</f>
        <v>0</v>
      </c>
      <c r="CW126" s="115">
        <f>SUMIF($E$4:$E$113,"301",$CW$4:$CW$113)</f>
        <v>0</v>
      </c>
      <c r="CX126" s="115">
        <f>SUMIF($E$4:$E$113,"301",$CX$4:$CX$113)</f>
        <v>0</v>
      </c>
      <c r="CY126" s="115">
        <f>SUMIF($E$4:$E$113,"301",$CY$4:$CY$113)</f>
        <v>0</v>
      </c>
      <c r="CZ126" s="119">
        <f>SUMIF($E$4:$E$113,"301",$CZ$4:$CZ$113)</f>
        <v>0</v>
      </c>
      <c r="DA126" s="119">
        <f>SUMIF($E$4:$E$113,"301",$DA$4:$DA$113)</f>
        <v>0</v>
      </c>
      <c r="DB126" s="119">
        <f>SUMIF($E$4:$E$113,"301",$DB$4:$DB$113)</f>
        <v>0</v>
      </c>
      <c r="DC126" s="119">
        <f>SUMIF($E$4:$E$113,"301",$DC$4:$DC$113)</f>
        <v>2213154</v>
      </c>
      <c r="DD126" s="119">
        <f>SUMIF($E$4:$E$113,"301",$DD$4:$DD$113)</f>
        <v>59435247</v>
      </c>
      <c r="DE126" s="119">
        <f>SUMIF($E$4:$E$113,"301",$DE$4:$DE$113)</f>
        <v>47365683</v>
      </c>
      <c r="DF126" s="119">
        <f>SUMIF($E$4:$E$113,"301",$DF$4:$DF$113)</f>
        <v>77000000</v>
      </c>
      <c r="DG126" s="119">
        <f>SUMIF($E$4:$E$113,"301",$DG$4:$DG$113)</f>
        <v>30937372</v>
      </c>
      <c r="DH126" s="119">
        <f>SUMIF($E$4:$E$113,"301",$DH$4:$DH$113)</f>
        <v>0</v>
      </c>
      <c r="DI126" s="119">
        <f>SUMIF($E$4:$E$113,"301",$DI$4:$DI$113)</f>
        <v>0</v>
      </c>
      <c r="DJ126" s="119">
        <f>SUMIF($E$4:$E$113,"301",$DJ$4:$DJ$113)</f>
        <v>0</v>
      </c>
      <c r="DK126" s="119">
        <f>SUMIF($E$4:$E$113,"301",$DK$4:$DK$113)</f>
        <v>55477572</v>
      </c>
      <c r="DN126" s="150" t="s">
        <v>389</v>
      </c>
      <c r="DO126" s="26">
        <v>823639235</v>
      </c>
      <c r="DP126" s="26">
        <v>623852260</v>
      </c>
      <c r="DQ126" s="151">
        <f t="shared" si="115"/>
        <v>0.75743387819546992</v>
      </c>
    </row>
    <row r="127" spans="1:121" ht="15.75" thickBot="1" x14ac:dyDescent="0.3">
      <c r="C127" s="216" t="s">
        <v>364</v>
      </c>
      <c r="D127" s="217"/>
      <c r="E127" s="128"/>
      <c r="F127" s="129"/>
      <c r="G127" s="130">
        <f>SUM(G125:G126)</f>
        <v>22024860201</v>
      </c>
      <c r="H127" s="130">
        <f t="shared" ref="H127:AA127" si="121">SUM(H125:H126)</f>
        <v>459174006</v>
      </c>
      <c r="I127" s="130">
        <f t="shared" si="121"/>
        <v>2798954283</v>
      </c>
      <c r="J127" s="130">
        <f t="shared" si="121"/>
        <v>4000000000</v>
      </c>
      <c r="K127" s="130">
        <f t="shared" si="121"/>
        <v>2000547872</v>
      </c>
      <c r="L127" s="130">
        <f t="shared" si="121"/>
        <v>80883013</v>
      </c>
      <c r="M127" s="130">
        <f t="shared" si="121"/>
        <v>210796645</v>
      </c>
      <c r="N127" s="130">
        <f t="shared" si="121"/>
        <v>12004716</v>
      </c>
      <c r="O127" s="130">
        <f t="shared" si="121"/>
        <v>6840985</v>
      </c>
      <c r="P127" s="130">
        <f t="shared" si="121"/>
        <v>30665828</v>
      </c>
      <c r="Q127" s="130">
        <f t="shared" si="121"/>
        <v>1940856</v>
      </c>
      <c r="R127" s="130">
        <f t="shared" si="121"/>
        <v>135153822</v>
      </c>
      <c r="S127" s="130">
        <f t="shared" si="121"/>
        <v>4178203008</v>
      </c>
      <c r="T127" s="130">
        <f t="shared" si="121"/>
        <v>530450000</v>
      </c>
      <c r="U127" s="131">
        <f t="shared" si="121"/>
        <v>1071441613</v>
      </c>
      <c r="V127" s="130">
        <f t="shared" si="121"/>
        <v>1800354141</v>
      </c>
      <c r="W127" s="130">
        <f t="shared" si="121"/>
        <v>1570638184</v>
      </c>
      <c r="X127" s="130">
        <f t="shared" si="121"/>
        <v>119946741</v>
      </c>
      <c r="Y127" s="130">
        <f t="shared" si="121"/>
        <v>667371659</v>
      </c>
      <c r="Z127" s="130">
        <f t="shared" si="121"/>
        <v>33084973</v>
      </c>
      <c r="AA127" s="130">
        <f t="shared" si="121"/>
        <v>2316407856</v>
      </c>
      <c r="AB127" s="132">
        <f t="shared" si="106"/>
        <v>0.83440347690223238</v>
      </c>
      <c r="AC127" s="133">
        <f>AC125+AC126</f>
        <v>18377619930</v>
      </c>
      <c r="AD127" s="133">
        <f t="shared" ref="AD127:AW127" si="122">AD125+AD126</f>
        <v>443093108</v>
      </c>
      <c r="AE127" s="133">
        <f t="shared" si="122"/>
        <v>2645795199</v>
      </c>
      <c r="AF127" s="133">
        <f t="shared" si="122"/>
        <v>3359245909</v>
      </c>
      <c r="AG127" s="133">
        <f t="shared" si="122"/>
        <v>1886109367</v>
      </c>
      <c r="AH127" s="125">
        <f t="shared" si="117"/>
        <v>80883013</v>
      </c>
      <c r="AI127" s="125">
        <f t="shared" si="117"/>
        <v>11416500</v>
      </c>
      <c r="AJ127" s="125">
        <f t="shared" si="117"/>
        <v>12004716</v>
      </c>
      <c r="AK127" s="125">
        <f t="shared" si="117"/>
        <v>6840985</v>
      </c>
      <c r="AL127" s="133">
        <f t="shared" si="122"/>
        <v>30665828</v>
      </c>
      <c r="AM127" s="133">
        <f t="shared" si="122"/>
        <v>0</v>
      </c>
      <c r="AN127" s="133">
        <f t="shared" si="122"/>
        <v>135153822</v>
      </c>
      <c r="AO127" s="133">
        <f t="shared" si="122"/>
        <v>2951299250</v>
      </c>
      <c r="AP127" s="133">
        <f t="shared" si="122"/>
        <v>325413542</v>
      </c>
      <c r="AQ127" s="133">
        <f t="shared" si="122"/>
        <v>1029441613</v>
      </c>
      <c r="AR127" s="133">
        <f t="shared" si="122"/>
        <v>1565140669</v>
      </c>
      <c r="AS127" s="133">
        <f t="shared" si="122"/>
        <v>1539781663</v>
      </c>
      <c r="AT127" s="133">
        <f t="shared" si="122"/>
        <v>119946741</v>
      </c>
      <c r="AU127" s="133">
        <f t="shared" si="122"/>
        <v>667371659</v>
      </c>
      <c r="AV127" s="133">
        <f t="shared" si="122"/>
        <v>33084973</v>
      </c>
      <c r="AW127" s="133">
        <f t="shared" si="122"/>
        <v>1534931373</v>
      </c>
      <c r="AX127" s="97">
        <f t="shared" si="108"/>
        <v>0.16559652309776762</v>
      </c>
      <c r="AY127" s="133">
        <f>AY125+AY126</f>
        <v>3647240271</v>
      </c>
      <c r="AZ127" s="133">
        <f>AZ125+AZ126</f>
        <v>16080898</v>
      </c>
      <c r="BA127" s="134">
        <f t="shared" ref="BA127:BS127" si="123">+BA125+BA126</f>
        <v>153159084</v>
      </c>
      <c r="BB127" s="134">
        <f t="shared" si="123"/>
        <v>640754091</v>
      </c>
      <c r="BC127" s="134">
        <f t="shared" si="123"/>
        <v>114438505</v>
      </c>
      <c r="BD127" s="134">
        <f t="shared" si="123"/>
        <v>0</v>
      </c>
      <c r="BE127" s="134">
        <f t="shared" si="123"/>
        <v>199380145</v>
      </c>
      <c r="BF127" s="134">
        <f t="shared" si="123"/>
        <v>0</v>
      </c>
      <c r="BG127" s="134">
        <f>+BG125+BG126</f>
        <v>0</v>
      </c>
      <c r="BH127" s="134">
        <f>+BH125+BH126</f>
        <v>0</v>
      </c>
      <c r="BI127" s="134">
        <f t="shared" si="123"/>
        <v>1940856</v>
      </c>
      <c r="BJ127" s="134">
        <f t="shared" si="123"/>
        <v>0</v>
      </c>
      <c r="BK127" s="134">
        <f t="shared" si="123"/>
        <v>1226903758</v>
      </c>
      <c r="BL127" s="134">
        <f t="shared" si="123"/>
        <v>205036458</v>
      </c>
      <c r="BM127" s="134">
        <f t="shared" si="123"/>
        <v>42000000</v>
      </c>
      <c r="BN127" s="134">
        <f t="shared" si="123"/>
        <v>235213472</v>
      </c>
      <c r="BO127" s="134">
        <f t="shared" si="123"/>
        <v>30856521</v>
      </c>
      <c r="BP127" s="134">
        <f t="shared" si="123"/>
        <v>0</v>
      </c>
      <c r="BQ127" s="134">
        <f t="shared" si="123"/>
        <v>0</v>
      </c>
      <c r="BR127" s="134">
        <f t="shared" si="123"/>
        <v>0</v>
      </c>
      <c r="BS127" s="134">
        <f t="shared" si="123"/>
        <v>781476483</v>
      </c>
      <c r="BT127" s="135">
        <f t="shared" si="110"/>
        <v>0.65143105754417319</v>
      </c>
      <c r="BU127" s="136">
        <f>+BU125+BU126</f>
        <v>14347677973</v>
      </c>
      <c r="BV127" s="134">
        <f>+BV125+BV126</f>
        <v>236554614</v>
      </c>
      <c r="BW127" s="134">
        <f>+BW125+BW126</f>
        <v>2391815929</v>
      </c>
      <c r="BX127" s="134">
        <f>+BX125+BX126</f>
        <v>2483307200</v>
      </c>
      <c r="BY127" s="134">
        <f>+BY125+BY126</f>
        <v>1185985714</v>
      </c>
      <c r="BZ127" s="130">
        <f t="shared" ref="BZ127:CO127" si="124">SUM(BZ125:BZ126)</f>
        <v>7736670</v>
      </c>
      <c r="CA127" s="130">
        <f t="shared" si="124"/>
        <v>11416500</v>
      </c>
      <c r="CB127" s="130">
        <f t="shared" si="124"/>
        <v>12004716</v>
      </c>
      <c r="CC127" s="130">
        <f t="shared" si="124"/>
        <v>6840985</v>
      </c>
      <c r="CD127" s="130">
        <f t="shared" si="124"/>
        <v>30665828</v>
      </c>
      <c r="CE127" s="130">
        <f t="shared" si="124"/>
        <v>0</v>
      </c>
      <c r="CF127" s="130">
        <f t="shared" si="124"/>
        <v>10153894</v>
      </c>
      <c r="CG127" s="130">
        <f t="shared" si="124"/>
        <v>2680257182</v>
      </c>
      <c r="CH127" s="130">
        <f t="shared" si="124"/>
        <v>320470283</v>
      </c>
      <c r="CI127" s="130">
        <f t="shared" si="124"/>
        <v>457243876</v>
      </c>
      <c r="CJ127" s="130">
        <f t="shared" si="124"/>
        <v>1137076957</v>
      </c>
      <c r="CK127" s="130">
        <f t="shared" si="124"/>
        <v>1539700812</v>
      </c>
      <c r="CL127" s="130">
        <f t="shared" si="124"/>
        <v>44864678</v>
      </c>
      <c r="CM127" s="130">
        <f t="shared" si="124"/>
        <v>591018660</v>
      </c>
      <c r="CN127" s="130">
        <f t="shared" si="124"/>
        <v>32833600</v>
      </c>
      <c r="CO127" s="137">
        <f t="shared" si="124"/>
        <v>1167729875</v>
      </c>
      <c r="CP127" s="138">
        <f t="shared" si="113"/>
        <v>0.34856894245582681</v>
      </c>
      <c r="CQ127" s="130">
        <f t="shared" ref="CQ127:DK127" ca="1" si="125">SUM(CQ125:CQ126)</f>
        <v>7677182228</v>
      </c>
      <c r="CR127" s="137">
        <f t="shared" ca="1" si="125"/>
        <v>222619392</v>
      </c>
      <c r="CS127" s="137">
        <f t="shared" si="125"/>
        <v>407138354</v>
      </c>
      <c r="CT127" s="137">
        <f t="shared" si="125"/>
        <v>1516692800</v>
      </c>
      <c r="CU127" s="137">
        <f t="shared" si="125"/>
        <v>814562158</v>
      </c>
      <c r="CV127" s="130">
        <f t="shared" si="125"/>
        <v>73146343</v>
      </c>
      <c r="CW127" s="130">
        <f t="shared" si="125"/>
        <v>199380145</v>
      </c>
      <c r="CX127" s="130">
        <f t="shared" si="125"/>
        <v>0</v>
      </c>
      <c r="CY127" s="130">
        <f t="shared" si="125"/>
        <v>0</v>
      </c>
      <c r="CZ127" s="139">
        <f t="shared" si="125"/>
        <v>0</v>
      </c>
      <c r="DA127" s="139">
        <f t="shared" si="125"/>
        <v>1940856</v>
      </c>
      <c r="DB127" s="139">
        <f t="shared" si="125"/>
        <v>124999928</v>
      </c>
      <c r="DC127" s="139">
        <f t="shared" si="125"/>
        <v>1497945826</v>
      </c>
      <c r="DD127" s="139">
        <f t="shared" si="125"/>
        <v>209979717</v>
      </c>
      <c r="DE127" s="139">
        <f t="shared" si="125"/>
        <v>614197737</v>
      </c>
      <c r="DF127" s="139">
        <f t="shared" si="125"/>
        <v>663277184</v>
      </c>
      <c r="DG127" s="139">
        <f t="shared" si="125"/>
        <v>30937372</v>
      </c>
      <c r="DH127" s="139">
        <f t="shared" si="125"/>
        <v>75082063</v>
      </c>
      <c r="DI127" s="139">
        <f t="shared" si="125"/>
        <v>76352999</v>
      </c>
      <c r="DJ127" s="139">
        <f t="shared" si="125"/>
        <v>251373</v>
      </c>
      <c r="DK127" s="139">
        <f t="shared" si="125"/>
        <v>1148677981</v>
      </c>
      <c r="DN127" s="150" t="s">
        <v>249</v>
      </c>
      <c r="DO127" s="26">
        <v>3178839833</v>
      </c>
      <c r="DP127" s="26">
        <v>2841101200</v>
      </c>
      <c r="DQ127" s="151">
        <f>+BT126</f>
        <v>0.89375412076636074</v>
      </c>
    </row>
    <row r="128" spans="1:121" ht="15.75" thickTop="1" x14ac:dyDescent="0.25"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35"/>
      <c r="BL128" s="35"/>
      <c r="BM128" s="35"/>
      <c r="BN128" s="35"/>
      <c r="BO128" s="35"/>
      <c r="BP128" s="35"/>
      <c r="BQ128" s="35"/>
      <c r="BR128" s="35"/>
      <c r="BS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/>
      <c r="CS128" s="35"/>
      <c r="CT128" s="35"/>
      <c r="CU128" s="35"/>
      <c r="CV128" s="35"/>
      <c r="CW128" s="35"/>
      <c r="CX128" s="35"/>
      <c r="CY128" s="35"/>
      <c r="CZ128" s="35"/>
      <c r="DA128" s="35"/>
      <c r="DB128" s="35"/>
      <c r="DC128" s="35"/>
      <c r="DD128" s="35"/>
      <c r="DE128" s="35"/>
      <c r="DF128" s="35"/>
      <c r="DG128" s="35"/>
      <c r="DH128" s="35"/>
      <c r="DI128" s="35"/>
      <c r="DJ128" s="35"/>
      <c r="DK128" s="35"/>
      <c r="DN128" s="152"/>
    </row>
    <row r="129" spans="3:121" x14ac:dyDescent="0.25">
      <c r="C129" s="140"/>
      <c r="D129" s="140"/>
      <c r="E129" s="141"/>
      <c r="F129" s="142"/>
      <c r="G129" s="143"/>
      <c r="AR129" s="35"/>
      <c r="DN129" s="150" t="str">
        <f>+'[9]PLAN A ENERO 2017 (2)'!$DF$144</f>
        <v xml:space="preserve">       TOTAL</v>
      </c>
      <c r="DO129" s="35">
        <f>DO120+DO121+DO122+DO123+DO124+DO125+DO126+DO127</f>
        <v>22024860201</v>
      </c>
      <c r="DP129" s="35">
        <f>DP120+DP121+DP122+DP123+DP124+DP125+DP126+DP127</f>
        <v>14347677973</v>
      </c>
      <c r="DQ129" s="151">
        <f>+BT127</f>
        <v>0.65143105754417319</v>
      </c>
    </row>
    <row r="131" spans="3:121" x14ac:dyDescent="0.25">
      <c r="AC131" s="35"/>
      <c r="BU131" s="35"/>
    </row>
    <row r="132" spans="3:121" x14ac:dyDescent="0.25">
      <c r="D132" s="35"/>
    </row>
  </sheetData>
  <mergeCells count="110">
    <mergeCell ref="P1:P3"/>
    <mergeCell ref="Q1:Q3"/>
    <mergeCell ref="R1:R3"/>
    <mergeCell ref="S1:S3"/>
    <mergeCell ref="L1:L3"/>
    <mergeCell ref="M1:M3"/>
    <mergeCell ref="N1:N3"/>
    <mergeCell ref="O1:O3"/>
    <mergeCell ref="A2:A3"/>
    <mergeCell ref="B2:B3"/>
    <mergeCell ref="C2:C3"/>
    <mergeCell ref="D2:D3"/>
    <mergeCell ref="E2:E3"/>
    <mergeCell ref="F2:F3"/>
    <mergeCell ref="C1:F1"/>
    <mergeCell ref="C116:E116"/>
    <mergeCell ref="C127:D127"/>
    <mergeCell ref="G1:G3"/>
    <mergeCell ref="A80:A93"/>
    <mergeCell ref="B80:B86"/>
    <mergeCell ref="B90:B92"/>
    <mergeCell ref="A95:A106"/>
    <mergeCell ref="B95:B97"/>
    <mergeCell ref="B98:B99"/>
    <mergeCell ref="B100:B106"/>
    <mergeCell ref="A68:A72"/>
    <mergeCell ref="B69:B71"/>
    <mergeCell ref="A73:A78"/>
    <mergeCell ref="B73:B74"/>
    <mergeCell ref="B75:B78"/>
    <mergeCell ref="B79:F79"/>
    <mergeCell ref="A49:A56"/>
    <mergeCell ref="B49:B50"/>
    <mergeCell ref="B51:B56"/>
    <mergeCell ref="B57:E57"/>
    <mergeCell ref="A58:A67"/>
    <mergeCell ref="B58:B60"/>
    <mergeCell ref="B62:B67"/>
    <mergeCell ref="B21:B22"/>
    <mergeCell ref="T1:T3"/>
    <mergeCell ref="U1:U3"/>
    <mergeCell ref="V1:V3"/>
    <mergeCell ref="W1:W3"/>
    <mergeCell ref="X1:X3"/>
    <mergeCell ref="Y1:Y3"/>
    <mergeCell ref="A108:A113"/>
    <mergeCell ref="B108:B111"/>
    <mergeCell ref="B114:D114"/>
    <mergeCell ref="B24:E24"/>
    <mergeCell ref="B25:B27"/>
    <mergeCell ref="B30:B38"/>
    <mergeCell ref="A39:A46"/>
    <mergeCell ref="B39:B41"/>
    <mergeCell ref="B43:B44"/>
    <mergeCell ref="B45:B46"/>
    <mergeCell ref="B4:B6"/>
    <mergeCell ref="B8:B11"/>
    <mergeCell ref="B17:B18"/>
    <mergeCell ref="B19:B20"/>
    <mergeCell ref="H1:H3"/>
    <mergeCell ref="I1:I3"/>
    <mergeCell ref="J1:J3"/>
    <mergeCell ref="K1:K3"/>
    <mergeCell ref="AJ1:AK2"/>
    <mergeCell ref="AL1:AM2"/>
    <mergeCell ref="AN1:AO2"/>
    <mergeCell ref="AP1:AQ2"/>
    <mergeCell ref="AR1:AS2"/>
    <mergeCell ref="AT1:AU2"/>
    <mergeCell ref="Z1:Z3"/>
    <mergeCell ref="AA1:AA3"/>
    <mergeCell ref="AB1:AC2"/>
    <mergeCell ref="AD1:AE2"/>
    <mergeCell ref="AF1:AG2"/>
    <mergeCell ref="AH1:AI2"/>
    <mergeCell ref="BJ1:BK2"/>
    <mergeCell ref="BL1:BM2"/>
    <mergeCell ref="BN1:BO2"/>
    <mergeCell ref="BP1:BQ2"/>
    <mergeCell ref="BR1:BS2"/>
    <mergeCell ref="AV1:AW2"/>
    <mergeCell ref="AX1:AY2"/>
    <mergeCell ref="AZ1:BA2"/>
    <mergeCell ref="BB1:BC2"/>
    <mergeCell ref="BD1:BE2"/>
    <mergeCell ref="BF1:BG2"/>
    <mergeCell ref="DD1:DE2"/>
    <mergeCell ref="DF1:DG2"/>
    <mergeCell ref="DH1:DI2"/>
    <mergeCell ref="DJ1:DK2"/>
    <mergeCell ref="B94:E94"/>
    <mergeCell ref="CR1:CS2"/>
    <mergeCell ref="CT1:CU2"/>
    <mergeCell ref="CV1:CW2"/>
    <mergeCell ref="CX1:CY2"/>
    <mergeCell ref="CZ1:DA2"/>
    <mergeCell ref="DB1:DC2"/>
    <mergeCell ref="CF1:CG2"/>
    <mergeCell ref="CH1:CI2"/>
    <mergeCell ref="CJ1:CK2"/>
    <mergeCell ref="CL1:CM2"/>
    <mergeCell ref="CN1:CO2"/>
    <mergeCell ref="CP1:CQ2"/>
    <mergeCell ref="BT1:BU2"/>
    <mergeCell ref="BV1:BW2"/>
    <mergeCell ref="BX1:BY2"/>
    <mergeCell ref="BZ1:CA2"/>
    <mergeCell ref="CB1:CC2"/>
    <mergeCell ref="CD1:CE2"/>
    <mergeCell ref="BH1:BI2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0152 DEL 23 DE JUNIO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 ACCIÓN A AGOS 17</vt:lpstr>
      <vt:lpstr>P. ACCIÓN A AGOS 17 (4)</vt:lpstr>
      <vt:lpstr>P. ACCIÓN A AGOS 17 CONSOLIDADO</vt:lpstr>
      <vt:lpstr>'P. ACCIÓN A AGOS 17'!Títulos_a_imprimir</vt:lpstr>
      <vt:lpstr>'P. ACCIÓN A AGOS 17 (4)'!Títulos_a_imprimir</vt:lpstr>
      <vt:lpstr>'P. ACCIÓN A AGOS 17 CONSOLIDADO'!Títulos_a_imprimir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2017-09-25T14:06:58Z</dcterms:created>
  <dcterms:modified xsi:type="dcterms:W3CDTF">2017-09-26T23:03:42Z</dcterms:modified>
</cp:coreProperties>
</file>